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D:\Customer require\Declaration\責任礦產\CMRT\"/>
    </mc:Choice>
  </mc:AlternateContent>
  <xr:revisionPtr revIDLastSave="0" documentId="8_{ECFDC783-F4E8-43B9-A6FF-C7CE85120847}" xr6:coauthVersionLast="36" xr6:coauthVersionMax="36" xr10:uidLastSave="{00000000-0000-0000-0000-000000000000}"/>
  <workbookProtection lockStructure="1"/>
  <bookViews>
    <workbookView xWindow="0" yWindow="0" windowWidth="19200" windowHeight="80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alcOnSave="0" concurrentCalc="0"/>
  <customWorkbookViews>
    <customWorkbookView name="Connors, Jared M - Personal View" guid="{81CF54B1-70AB-4A68-BB72-21925B5D4874}" personalView="1" includePrintSettings="0" includeHiddenRowCol="0" maximized="1" showHorizontalScroll="0" showVerticalScroll="0" showSheetTabs="0" xWindow="1" yWindow="1" windowWidth="1436" windowHeight="673" tabRatio="675" activeSheetId="4" showFormulaBar="0" showStatusbar="0"/>
    <customWorkbookView name="Gavin Wu - Personal View" guid="{51531B83-BDD7-4890-A744-04812A317369}" personalView="1" includePrintSettings="0" includeHiddenRowCol="0" showHorizontalScroll="0" showVerticalScroll="0" showSheetTabs="0" xWindow="52" yWindow="68" windowWidth="1395" windowHeight="726" tabRatio="789" activeSheetId="9" showFormulaBar="0" showStatusbar="0"/>
  </customWorkbookViews>
</workbook>
</file>

<file path=xl/calcChain.xml><?xml version="1.0" encoding="utf-8"?>
<calcChain xmlns="http://schemas.openxmlformats.org/spreadsheetml/2006/main">
  <c r="S6" i="5" l="1"/>
  <c r="C2" i="1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T6" i="5"/>
  <c r="S7" i="5"/>
  <c r="T7" i="5"/>
  <c r="S8" i="5"/>
  <c r="T8" i="5"/>
  <c r="S9" i="5"/>
  <c r="T9" i="5"/>
  <c r="S10" i="5"/>
  <c r="T10" i="5"/>
  <c r="S11" i="5"/>
  <c r="T11" i="5"/>
  <c r="S12" i="5"/>
  <c r="T12" i="5"/>
  <c r="S13" i="5"/>
  <c r="T13" i="5"/>
  <c r="S14" i="5"/>
  <c r="T14" i="5"/>
  <c r="S15" i="5"/>
  <c r="T15" i="5"/>
  <c r="S16" i="5"/>
  <c r="T16" i="5"/>
  <c r="S17" i="5"/>
  <c r="T17" i="5"/>
  <c r="S18" i="5"/>
  <c r="T18" i="5"/>
  <c r="S19" i="5"/>
  <c r="T19" i="5"/>
  <c r="S20" i="5"/>
  <c r="T20" i="5"/>
  <c r="S21" i="5"/>
  <c r="T21" i="5"/>
  <c r="S22" i="5"/>
  <c r="T22" i="5"/>
  <c r="S23" i="5"/>
  <c r="T23" i="5"/>
  <c r="S24" i="5"/>
  <c r="T24" i="5"/>
  <c r="S25" i="5"/>
  <c r="T25" i="5"/>
  <c r="S26" i="5"/>
  <c r="T26" i="5"/>
  <c r="T27" i="5"/>
  <c r="S28" i="5"/>
  <c r="T28" i="5"/>
  <c r="S29" i="5"/>
  <c r="T29" i="5"/>
  <c r="S30" i="5"/>
  <c r="T30" i="5"/>
  <c r="S31" i="5"/>
  <c r="T31" i="5"/>
  <c r="S32" i="5"/>
  <c r="T32" i="5"/>
  <c r="S33" i="5"/>
  <c r="T33" i="5"/>
  <c r="S34" i="5"/>
  <c r="T34" i="5"/>
  <c r="S35" i="5"/>
  <c r="T35" i="5"/>
  <c r="S36" i="5"/>
  <c r="T36" i="5"/>
  <c r="S37" i="5"/>
  <c r="T37" i="5"/>
  <c r="S38" i="5"/>
  <c r="T38" i="5"/>
  <c r="S39" i="5"/>
  <c r="T39" i="5"/>
  <c r="S40" i="5"/>
  <c r="T40" i="5"/>
  <c r="S41" i="5"/>
  <c r="T41" i="5"/>
  <c r="S42" i="5"/>
  <c r="T42" i="5"/>
  <c r="S43" i="5"/>
  <c r="T43" i="5"/>
  <c r="S44" i="5"/>
  <c r="T44" i="5"/>
  <c r="S45" i="5"/>
  <c r="T45" i="5"/>
  <c r="S46" i="5"/>
  <c r="T46" i="5"/>
  <c r="S47" i="5"/>
  <c r="T47" i="5"/>
  <c r="S48" i="5"/>
  <c r="T48" i="5"/>
  <c r="S49" i="5"/>
  <c r="T49" i="5"/>
  <c r="S50" i="5"/>
  <c r="T50" i="5"/>
  <c r="S51" i="5"/>
  <c r="T51" i="5"/>
  <c r="S52" i="5"/>
  <c r="T52" i="5"/>
  <c r="S53" i="5"/>
  <c r="T53" i="5"/>
  <c r="S54" i="5"/>
  <c r="T54" i="5"/>
  <c r="S55" i="5"/>
  <c r="T55" i="5"/>
  <c r="S56" i="5"/>
  <c r="T56" i="5"/>
  <c r="S57" i="5"/>
  <c r="T57" i="5"/>
  <c r="S58" i="5"/>
  <c r="T58" i="5"/>
  <c r="S59" i="5"/>
  <c r="T59" i="5"/>
  <c r="S60" i="5"/>
  <c r="T60" i="5"/>
  <c r="S61" i="5"/>
  <c r="T61" i="5"/>
  <c r="S62" i="5"/>
  <c r="T62" i="5"/>
  <c r="S63" i="5"/>
  <c r="T63" i="5"/>
  <c r="S64" i="5"/>
  <c r="T64" i="5"/>
  <c r="S65" i="5"/>
  <c r="T65" i="5"/>
  <c r="S66" i="5"/>
  <c r="T66" i="5"/>
  <c r="S67" i="5"/>
  <c r="T67" i="5"/>
  <c r="S68" i="5"/>
  <c r="T68" i="5"/>
  <c r="S69" i="5"/>
  <c r="T69" i="5"/>
  <c r="S70" i="5"/>
  <c r="T70" i="5"/>
  <c r="S71" i="5"/>
  <c r="T71" i="5"/>
  <c r="S72" i="5"/>
  <c r="T72" i="5"/>
  <c r="S73" i="5"/>
  <c r="T73" i="5"/>
  <c r="S74" i="5"/>
  <c r="T74" i="5"/>
  <c r="S75" i="5"/>
  <c r="T75" i="5"/>
  <c r="S76" i="5"/>
  <c r="T76" i="5"/>
  <c r="S77" i="5"/>
  <c r="T77" i="5"/>
  <c r="S78" i="5"/>
  <c r="T78" i="5"/>
  <c r="S79" i="5"/>
  <c r="T79" i="5"/>
  <c r="S80" i="5"/>
  <c r="T80" i="5"/>
  <c r="S81" i="5"/>
  <c r="T81" i="5"/>
  <c r="T82" i="5"/>
  <c r="T83" i="5"/>
  <c r="S84" i="5"/>
  <c r="T84" i="5"/>
  <c r="S85" i="5"/>
  <c r="T85" i="5"/>
  <c r="S86" i="5"/>
  <c r="T86" i="5"/>
  <c r="S87" i="5"/>
  <c r="T87" i="5"/>
  <c r="S88" i="5"/>
  <c r="T88" i="5"/>
  <c r="S89" i="5"/>
  <c r="T89" i="5"/>
  <c r="S90" i="5"/>
  <c r="T90" i="5"/>
  <c r="S91" i="5"/>
  <c r="T91" i="5"/>
  <c r="S92" i="5"/>
  <c r="T92" i="5"/>
  <c r="S93" i="5"/>
  <c r="T93" i="5"/>
  <c r="S94" i="5"/>
  <c r="T94" i="5"/>
  <c r="S95" i="5"/>
  <c r="T95" i="5"/>
  <c r="S96" i="5"/>
  <c r="T96" i="5"/>
  <c r="S97" i="5"/>
  <c r="T97" i="5"/>
  <c r="S98" i="5"/>
  <c r="T98" i="5"/>
  <c r="S99" i="5"/>
  <c r="T99" i="5"/>
  <c r="S100" i="5"/>
  <c r="T100" i="5"/>
  <c r="S101" i="5"/>
  <c r="T101" i="5"/>
  <c r="S102" i="5"/>
  <c r="T102" i="5"/>
  <c r="S103" i="5"/>
  <c r="T103" i="5"/>
  <c r="S104" i="5"/>
  <c r="T104" i="5"/>
  <c r="S105" i="5"/>
  <c r="T105" i="5"/>
  <c r="S106" i="5"/>
  <c r="T106" i="5"/>
  <c r="S107" i="5"/>
  <c r="T107" i="5"/>
  <c r="S108" i="5"/>
  <c r="T108" i="5"/>
  <c r="S109" i="5"/>
  <c r="T109" i="5"/>
  <c r="S110" i="5"/>
  <c r="T110" i="5"/>
  <c r="S111" i="5"/>
  <c r="T111" i="5"/>
  <c r="S112" i="5"/>
  <c r="T112" i="5"/>
  <c r="S113" i="5"/>
  <c r="T113" i="5"/>
  <c r="S114" i="5"/>
  <c r="T114" i="5"/>
  <c r="S115" i="5"/>
  <c r="T115" i="5"/>
  <c r="T116" i="5"/>
  <c r="S117" i="5"/>
  <c r="T117" i="5"/>
  <c r="S118" i="5"/>
  <c r="T118" i="5"/>
  <c r="S119" i="5"/>
  <c r="T119" i="5"/>
  <c r="S120" i="5"/>
  <c r="T120" i="5"/>
  <c r="S121" i="5"/>
  <c r="T121" i="5"/>
  <c r="S122" i="5"/>
  <c r="T122" i="5"/>
  <c r="S123" i="5"/>
  <c r="T123" i="5"/>
  <c r="S124" i="5"/>
  <c r="T124" i="5"/>
  <c r="S125" i="5"/>
  <c r="T125" i="5"/>
  <c r="S126" i="5"/>
  <c r="T126" i="5"/>
  <c r="S127" i="5"/>
  <c r="T127" i="5"/>
  <c r="S128" i="5"/>
  <c r="T128" i="5"/>
  <c r="S129" i="5"/>
  <c r="T129" i="5"/>
  <c r="S130" i="5"/>
  <c r="T130" i="5"/>
  <c r="S131" i="5"/>
  <c r="T131" i="5"/>
  <c r="S132" i="5"/>
  <c r="T132" i="5"/>
  <c r="S133" i="5"/>
  <c r="T133" i="5"/>
  <c r="S134" i="5"/>
  <c r="T134" i="5"/>
  <c r="S135" i="5"/>
  <c r="T135" i="5"/>
  <c r="S136" i="5"/>
  <c r="T136" i="5"/>
  <c r="S137" i="5"/>
  <c r="T137" i="5"/>
  <c r="S138" i="5"/>
  <c r="T138" i="5"/>
  <c r="S139" i="5"/>
  <c r="T139" i="5"/>
  <c r="S140" i="5"/>
  <c r="T140" i="5"/>
  <c r="T141" i="5"/>
  <c r="S142" i="5"/>
  <c r="T142" i="5"/>
  <c r="S143" i="5"/>
  <c r="T143" i="5"/>
  <c r="T144" i="5"/>
  <c r="S145" i="5"/>
  <c r="T145" i="5"/>
  <c r="S146" i="5"/>
  <c r="T146" i="5"/>
  <c r="S147" i="5"/>
  <c r="T147" i="5"/>
  <c r="S148" i="5"/>
  <c r="T148" i="5"/>
  <c r="S149" i="5"/>
  <c r="T149" i="5"/>
  <c r="S150" i="5"/>
  <c r="T150" i="5"/>
  <c r="S151" i="5"/>
  <c r="T151" i="5"/>
  <c r="S152" i="5"/>
  <c r="T152" i="5"/>
  <c r="S153" i="5"/>
  <c r="T153" i="5"/>
  <c r="S154" i="5"/>
  <c r="T154" i="5"/>
  <c r="S155" i="5"/>
  <c r="T155" i="5"/>
  <c r="S156" i="5"/>
  <c r="T156" i="5"/>
  <c r="S157" i="5"/>
  <c r="T157" i="5"/>
  <c r="S158" i="5"/>
  <c r="T158" i="5"/>
  <c r="S159" i="5"/>
  <c r="T159" i="5"/>
  <c r="S160" i="5"/>
  <c r="T160" i="5"/>
  <c r="S161" i="5"/>
  <c r="T161" i="5"/>
  <c r="S162" i="5"/>
  <c r="T162" i="5"/>
  <c r="S163" i="5"/>
  <c r="T163" i="5"/>
  <c r="S164" i="5"/>
  <c r="T164" i="5"/>
  <c r="S165" i="5"/>
  <c r="T165" i="5"/>
  <c r="S166" i="5"/>
  <c r="T166" i="5"/>
  <c r="S167" i="5"/>
  <c r="T167" i="5"/>
  <c r="T168" i="5"/>
  <c r="T169" i="5"/>
  <c r="S170" i="5"/>
  <c r="T170" i="5"/>
  <c r="S171" i="5"/>
  <c r="T171" i="5"/>
  <c r="S172" i="5"/>
  <c r="T172" i="5"/>
  <c r="S173" i="5"/>
  <c r="T173" i="5"/>
  <c r="T174" i="5"/>
  <c r="T175" i="5"/>
  <c r="S176" i="5"/>
  <c r="T176" i="5"/>
  <c r="S177" i="5"/>
  <c r="T177" i="5"/>
  <c r="S178" i="5"/>
  <c r="T178" i="5"/>
  <c r="S179" i="5"/>
  <c r="T179" i="5"/>
  <c r="S180" i="5"/>
  <c r="T180" i="5"/>
  <c r="T181" i="5"/>
  <c r="T182" i="5"/>
  <c r="S183" i="5"/>
  <c r="T183" i="5"/>
  <c r="S184" i="5"/>
  <c r="T184" i="5"/>
  <c r="S185" i="5"/>
  <c r="T185" i="5"/>
  <c r="S186" i="5"/>
  <c r="T186" i="5"/>
  <c r="T187" i="5"/>
  <c r="S188" i="5"/>
  <c r="T188" i="5"/>
  <c r="S189" i="5"/>
  <c r="T189" i="5"/>
  <c r="S190" i="5"/>
  <c r="T190" i="5"/>
  <c r="S191" i="5"/>
  <c r="T191" i="5"/>
  <c r="S192" i="5"/>
  <c r="T192" i="5"/>
  <c r="S193" i="5"/>
  <c r="T193" i="5"/>
  <c r="S194" i="5"/>
  <c r="T194" i="5"/>
  <c r="S195" i="5"/>
  <c r="T195" i="5"/>
  <c r="S196" i="5"/>
  <c r="T196" i="5"/>
  <c r="S197" i="5"/>
  <c r="T197" i="5"/>
  <c r="S198" i="5"/>
  <c r="T198" i="5"/>
  <c r="S199" i="5"/>
  <c r="T199" i="5"/>
  <c r="S200" i="5"/>
  <c r="T200" i="5"/>
  <c r="S201" i="5"/>
  <c r="T201" i="5"/>
  <c r="S202" i="5"/>
  <c r="T202" i="5"/>
  <c r="S203" i="5"/>
  <c r="T203" i="5"/>
  <c r="S204" i="5"/>
  <c r="T204" i="5"/>
  <c r="S205" i="5"/>
  <c r="T205" i="5"/>
  <c r="S206" i="5"/>
  <c r="T206" i="5"/>
  <c r="S207" i="5"/>
  <c r="T207" i="5"/>
  <c r="S208" i="5"/>
  <c r="T208" i="5"/>
  <c r="S209" i="5"/>
  <c r="T209" i="5"/>
  <c r="S210" i="5"/>
  <c r="T210" i="5"/>
  <c r="S211" i="5"/>
  <c r="T211" i="5"/>
  <c r="S212" i="5"/>
  <c r="T212" i="5"/>
  <c r="S213" i="5"/>
  <c r="T213" i="5"/>
  <c r="S214" i="5"/>
  <c r="T214" i="5"/>
  <c r="S215" i="5"/>
  <c r="T215" i="5"/>
  <c r="S216" i="5"/>
  <c r="T216" i="5"/>
  <c r="S217" i="5"/>
  <c r="T217" i="5"/>
  <c r="S218" i="5"/>
  <c r="T218" i="5"/>
  <c r="S219" i="5"/>
  <c r="T219" i="5"/>
  <c r="S220" i="5"/>
  <c r="T220" i="5"/>
  <c r="S221" i="5"/>
  <c r="T221" i="5"/>
  <c r="S222" i="5"/>
  <c r="T222" i="5"/>
  <c r="S223" i="5"/>
  <c r="T223" i="5"/>
  <c r="S224" i="5"/>
  <c r="T224" i="5"/>
  <c r="S225" i="5"/>
  <c r="T225" i="5"/>
  <c r="S226" i="5"/>
  <c r="T226" i="5"/>
  <c r="S227" i="5"/>
  <c r="T227" i="5"/>
  <c r="S228" i="5"/>
  <c r="T228" i="5"/>
  <c r="S229" i="5"/>
  <c r="T229" i="5"/>
  <c r="S230" i="5"/>
  <c r="T230" i="5"/>
  <c r="S231" i="5"/>
  <c r="T231" i="5"/>
  <c r="S232" i="5"/>
  <c r="T232" i="5"/>
  <c r="S233" i="5"/>
  <c r="T233" i="5"/>
  <c r="S234" i="5"/>
  <c r="T234" i="5"/>
  <c r="S235" i="5"/>
  <c r="T235" i="5"/>
  <c r="S236" i="5"/>
  <c r="T236" i="5"/>
  <c r="S237" i="5"/>
  <c r="T237" i="5"/>
  <c r="S238" i="5"/>
  <c r="T238" i="5"/>
  <c r="S239" i="5"/>
  <c r="T239" i="5"/>
  <c r="S240" i="5"/>
  <c r="T240" i="5"/>
  <c r="S241" i="5"/>
  <c r="T241" i="5"/>
  <c r="S242" i="5"/>
  <c r="T242" i="5"/>
  <c r="S243" i="5"/>
  <c r="T243" i="5"/>
  <c r="S244" i="5"/>
  <c r="T244" i="5"/>
  <c r="S245" i="5"/>
  <c r="T245" i="5"/>
  <c r="S246" i="5"/>
  <c r="T246" i="5"/>
  <c r="S247" i="5"/>
  <c r="T247" i="5"/>
  <c r="S248" i="5"/>
  <c r="T248" i="5"/>
  <c r="S249" i="5"/>
  <c r="T249" i="5"/>
  <c r="S250" i="5"/>
  <c r="T250" i="5"/>
  <c r="S251" i="5"/>
  <c r="T251" i="5"/>
  <c r="S252" i="5"/>
  <c r="T252" i="5"/>
  <c r="S253" i="5"/>
  <c r="T253" i="5"/>
  <c r="S254" i="5"/>
  <c r="T254" i="5"/>
  <c r="S255" i="5"/>
  <c r="T255" i="5"/>
  <c r="S256" i="5"/>
  <c r="T256" i="5"/>
  <c r="S257" i="5"/>
  <c r="T257" i="5"/>
  <c r="S258" i="5"/>
  <c r="T258" i="5"/>
  <c r="S259" i="5"/>
  <c r="T259" i="5"/>
  <c r="S260" i="5"/>
  <c r="T260" i="5"/>
  <c r="S261" i="5"/>
  <c r="T261" i="5"/>
  <c r="S262" i="5"/>
  <c r="T262" i="5"/>
  <c r="S263" i="5"/>
  <c r="T263" i="5"/>
  <c r="S264" i="5"/>
  <c r="T264" i="5"/>
  <c r="S265" i="5"/>
  <c r="T265" i="5"/>
  <c r="S266" i="5"/>
  <c r="T266" i="5"/>
  <c r="S267" i="5"/>
  <c r="T267" i="5"/>
  <c r="S268" i="5"/>
  <c r="T268" i="5"/>
  <c r="S269" i="5"/>
  <c r="T269" i="5"/>
  <c r="S270" i="5"/>
  <c r="T270" i="5"/>
  <c r="S271" i="5"/>
  <c r="T271" i="5"/>
  <c r="S272" i="5"/>
  <c r="T272" i="5"/>
  <c r="S273" i="5"/>
  <c r="T273" i="5"/>
  <c r="S274" i="5"/>
  <c r="T274" i="5"/>
  <c r="S275" i="5"/>
  <c r="T275" i="5"/>
  <c r="S276" i="5"/>
  <c r="T276" i="5"/>
  <c r="S277" i="5"/>
  <c r="T277" i="5"/>
  <c r="S278" i="5"/>
  <c r="T278" i="5"/>
  <c r="S279" i="5"/>
  <c r="T279" i="5"/>
  <c r="S280" i="5"/>
  <c r="T280" i="5"/>
  <c r="S281" i="5"/>
  <c r="T281" i="5"/>
  <c r="S282" i="5"/>
  <c r="T282" i="5"/>
  <c r="S283" i="5"/>
  <c r="T283" i="5"/>
  <c r="S284" i="5"/>
  <c r="T284" i="5"/>
  <c r="S285" i="5"/>
  <c r="T285" i="5"/>
  <c r="S286" i="5"/>
  <c r="T286" i="5"/>
  <c r="T287" i="5"/>
  <c r="S288" i="5"/>
  <c r="T288" i="5"/>
  <c r="S289" i="5"/>
  <c r="T289" i="5"/>
  <c r="S290" i="5"/>
  <c r="T290" i="5"/>
  <c r="S291" i="5"/>
  <c r="T291" i="5"/>
  <c r="S292" i="5"/>
  <c r="T292" i="5"/>
  <c r="S293" i="5"/>
  <c r="T293" i="5"/>
  <c r="S294" i="5"/>
  <c r="T294" i="5"/>
  <c r="T295" i="5"/>
  <c r="T296" i="5"/>
  <c r="S297" i="5"/>
  <c r="T297" i="5"/>
  <c r="S298" i="5"/>
  <c r="T298" i="5"/>
  <c r="S299" i="5"/>
  <c r="T299" i="5"/>
  <c r="S300" i="5"/>
  <c r="T300" i="5"/>
  <c r="S301" i="5"/>
  <c r="T301" i="5"/>
  <c r="S302" i="5"/>
  <c r="T302" i="5"/>
  <c r="S303" i="5"/>
  <c r="T303" i="5"/>
  <c r="S304" i="5"/>
  <c r="T304" i="5"/>
  <c r="S305" i="5"/>
  <c r="T305" i="5"/>
  <c r="S306" i="5"/>
  <c r="T306" i="5"/>
  <c r="S307" i="5"/>
  <c r="T307" i="5"/>
  <c r="S308" i="5"/>
  <c r="T308" i="5"/>
  <c r="T309" i="5"/>
  <c r="S310" i="5"/>
  <c r="T310" i="5"/>
  <c r="S311" i="5"/>
  <c r="T311" i="5"/>
  <c r="S312" i="5"/>
  <c r="T312" i="5"/>
  <c r="S313" i="5"/>
  <c r="T313" i="5"/>
  <c r="S314" i="5"/>
  <c r="T314" i="5"/>
  <c r="S315" i="5"/>
  <c r="T315" i="5"/>
  <c r="S316" i="5"/>
  <c r="T316" i="5"/>
  <c r="S317" i="5"/>
  <c r="T317" i="5"/>
  <c r="S318" i="5"/>
  <c r="T318" i="5"/>
  <c r="S319" i="5"/>
  <c r="T319" i="5"/>
  <c r="S320" i="5"/>
  <c r="T320" i="5"/>
  <c r="S321" i="5"/>
  <c r="T321" i="5"/>
  <c r="S322" i="5"/>
  <c r="T322" i="5"/>
  <c r="S323" i="5"/>
  <c r="T323" i="5"/>
  <c r="S324" i="5"/>
  <c r="T324" i="5"/>
  <c r="S325" i="5"/>
  <c r="T325" i="5"/>
  <c r="S326" i="5"/>
  <c r="T326" i="5"/>
  <c r="S327" i="5"/>
  <c r="T327" i="5"/>
  <c r="S328" i="5"/>
  <c r="T328" i="5"/>
  <c r="S329" i="5"/>
  <c r="T329" i="5"/>
  <c r="S330" i="5"/>
  <c r="T330" i="5"/>
  <c r="S331" i="5"/>
  <c r="T331" i="5"/>
  <c r="S332" i="5"/>
  <c r="T332" i="5"/>
  <c r="S333" i="5"/>
  <c r="T333" i="5"/>
  <c r="S334" i="5"/>
  <c r="T334" i="5"/>
  <c r="S335" i="5"/>
  <c r="T335" i="5"/>
  <c r="S336" i="5"/>
  <c r="T336" i="5"/>
  <c r="S337" i="5"/>
  <c r="T337" i="5"/>
  <c r="S338" i="5"/>
  <c r="T338" i="5"/>
  <c r="S339" i="5"/>
  <c r="T339" i="5"/>
  <c r="S340" i="5"/>
  <c r="T340" i="5"/>
  <c r="S341" i="5"/>
  <c r="T341" i="5"/>
  <c r="S342" i="5"/>
  <c r="T342" i="5"/>
  <c r="S343" i="5"/>
  <c r="T343" i="5"/>
  <c r="S344" i="5"/>
  <c r="T344" i="5"/>
  <c r="S345" i="5"/>
  <c r="T345" i="5"/>
  <c r="S346" i="5"/>
  <c r="T346" i="5"/>
  <c r="S347" i="5"/>
  <c r="T347" i="5"/>
  <c r="S348" i="5"/>
  <c r="T348" i="5"/>
  <c r="S349" i="5"/>
  <c r="T349" i="5"/>
  <c r="S350" i="5"/>
  <c r="T350" i="5"/>
  <c r="S351" i="5"/>
  <c r="T351" i="5"/>
  <c r="S352" i="5"/>
  <c r="T352" i="5"/>
  <c r="T353" i="5"/>
  <c r="T354" i="5"/>
  <c r="S355" i="5"/>
  <c r="T355" i="5"/>
  <c r="S356" i="5"/>
  <c r="T356" i="5"/>
  <c r="S357" i="5"/>
  <c r="T357" i="5"/>
  <c r="S358" i="5"/>
  <c r="T358" i="5"/>
  <c r="S359" i="5"/>
  <c r="T359" i="5"/>
  <c r="S360" i="5"/>
  <c r="T360" i="5"/>
  <c r="S361" i="5"/>
  <c r="T361" i="5"/>
  <c r="S362" i="5"/>
  <c r="T362" i="5"/>
  <c r="S363" i="5"/>
  <c r="T363" i="5"/>
  <c r="S364" i="5"/>
  <c r="T364" i="5"/>
  <c r="S365" i="5"/>
  <c r="T365" i="5"/>
  <c r="S366" i="5"/>
  <c r="T366" i="5"/>
  <c r="S367" i="5"/>
  <c r="T367" i="5"/>
  <c r="S368" i="5"/>
  <c r="T368" i="5"/>
  <c r="S369" i="5"/>
  <c r="T369" i="5"/>
  <c r="S370" i="5"/>
  <c r="T370" i="5"/>
  <c r="S371" i="5"/>
  <c r="T371" i="5"/>
  <c r="S372" i="5"/>
  <c r="T372" i="5"/>
  <c r="S373" i="5"/>
  <c r="T373" i="5"/>
  <c r="S374" i="5"/>
  <c r="T374" i="5"/>
  <c r="S375" i="5"/>
  <c r="T375" i="5"/>
  <c r="S376" i="5"/>
  <c r="T376" i="5"/>
  <c r="S377" i="5"/>
  <c r="T377" i="5"/>
  <c r="S378" i="5"/>
  <c r="T378" i="5"/>
  <c r="S379" i="5"/>
  <c r="T379" i="5"/>
  <c r="S380" i="5"/>
  <c r="T380" i="5"/>
  <c r="S381" i="5"/>
  <c r="T381" i="5"/>
  <c r="S382" i="5"/>
  <c r="T382" i="5"/>
  <c r="S383" i="5"/>
  <c r="T383" i="5"/>
  <c r="S384" i="5"/>
  <c r="T384" i="5"/>
  <c r="S385" i="5"/>
  <c r="T385" i="5"/>
  <c r="S386" i="5"/>
  <c r="T386" i="5"/>
  <c r="S387" i="5"/>
  <c r="T387" i="5"/>
  <c r="S388" i="5"/>
  <c r="T388" i="5"/>
  <c r="S389" i="5"/>
  <c r="T389" i="5"/>
  <c r="S390" i="5"/>
  <c r="T390" i="5"/>
  <c r="S391" i="5"/>
  <c r="T391" i="5"/>
  <c r="S392" i="5"/>
  <c r="T392" i="5"/>
  <c r="S393" i="5"/>
  <c r="T393" i="5"/>
  <c r="S394" i="5"/>
  <c r="T394" i="5"/>
  <c r="S395" i="5"/>
  <c r="T395" i="5"/>
  <c r="S396" i="5"/>
  <c r="T396" i="5"/>
  <c r="S397" i="5"/>
  <c r="T397" i="5"/>
  <c r="S398" i="5"/>
  <c r="T398" i="5"/>
  <c r="S399" i="5"/>
  <c r="T399" i="5"/>
  <c r="S400" i="5"/>
  <c r="T400" i="5"/>
  <c r="S401" i="5"/>
  <c r="T401" i="5"/>
  <c r="S402" i="5"/>
  <c r="T402" i="5"/>
  <c r="S403" i="5"/>
  <c r="T403" i="5"/>
  <c r="S404" i="5"/>
  <c r="T404" i="5"/>
  <c r="S405" i="5"/>
  <c r="T405" i="5"/>
  <c r="S406" i="5"/>
  <c r="T406" i="5"/>
  <c r="S407" i="5"/>
  <c r="T407" i="5"/>
  <c r="S408" i="5"/>
  <c r="T408" i="5"/>
  <c r="S409" i="5"/>
  <c r="T409" i="5"/>
  <c r="S410" i="5"/>
  <c r="T410" i="5"/>
  <c r="S411" i="5"/>
  <c r="T411" i="5"/>
  <c r="S412" i="5"/>
  <c r="T412" i="5"/>
  <c r="S413" i="5"/>
  <c r="T413" i="5"/>
  <c r="S414" i="5"/>
  <c r="T414" i="5"/>
  <c r="S415" i="5"/>
  <c r="T415" i="5"/>
  <c r="S416" i="5"/>
  <c r="T416" i="5"/>
  <c r="S417" i="5"/>
  <c r="T417" i="5"/>
  <c r="S418" i="5"/>
  <c r="T418" i="5"/>
  <c r="S419" i="5"/>
  <c r="T419" i="5"/>
  <c r="S420" i="5"/>
  <c r="T420" i="5"/>
  <c r="S421" i="5"/>
  <c r="T421" i="5"/>
  <c r="S422" i="5"/>
  <c r="T422" i="5"/>
  <c r="S423" i="5"/>
  <c r="T423" i="5"/>
  <c r="S424" i="5"/>
  <c r="T424" i="5"/>
  <c r="S425" i="5"/>
  <c r="T425" i="5"/>
  <c r="S426" i="5"/>
  <c r="T426" i="5"/>
  <c r="S427" i="5"/>
  <c r="T427" i="5"/>
  <c r="S428" i="5"/>
  <c r="T428" i="5"/>
  <c r="S429" i="5"/>
  <c r="T429" i="5"/>
  <c r="S430" i="5"/>
  <c r="T430" i="5"/>
  <c r="S431" i="5"/>
  <c r="T431" i="5"/>
  <c r="S432" i="5"/>
  <c r="T432" i="5"/>
  <c r="S433" i="5"/>
  <c r="T433" i="5"/>
  <c r="S434" i="5"/>
  <c r="T434" i="5"/>
  <c r="S435" i="5"/>
  <c r="T435" i="5"/>
  <c r="S436" i="5"/>
  <c r="T436" i="5"/>
  <c r="S437" i="5"/>
  <c r="T437" i="5"/>
  <c r="S438" i="5"/>
  <c r="T438" i="5"/>
  <c r="S439" i="5"/>
  <c r="T439" i="5"/>
  <c r="S440" i="5"/>
  <c r="T440" i="5"/>
  <c r="S441" i="5"/>
  <c r="T441" i="5"/>
  <c r="T442" i="5"/>
  <c r="S443" i="5"/>
  <c r="T443" i="5"/>
  <c r="S444" i="5"/>
  <c r="T444" i="5"/>
  <c r="S445" i="5"/>
  <c r="T445" i="5"/>
  <c r="S446" i="5"/>
  <c r="T446" i="5"/>
  <c r="S447" i="5"/>
  <c r="T447" i="5"/>
  <c r="S448" i="5"/>
  <c r="T448" i="5"/>
  <c r="S449" i="5"/>
  <c r="T449" i="5"/>
  <c r="S450" i="5"/>
  <c r="T450" i="5"/>
  <c r="T451" i="5"/>
  <c r="S452" i="5"/>
  <c r="T452" i="5"/>
  <c r="S453" i="5"/>
  <c r="T453" i="5"/>
  <c r="S454" i="5"/>
  <c r="T454" i="5"/>
  <c r="S455" i="5"/>
  <c r="T455" i="5"/>
  <c r="T456" i="5"/>
  <c r="S457" i="5"/>
  <c r="T457" i="5"/>
  <c r="S458" i="5"/>
  <c r="T458" i="5"/>
  <c r="S459" i="5"/>
  <c r="T459" i="5"/>
  <c r="S460" i="5"/>
  <c r="T460" i="5"/>
  <c r="S461" i="5"/>
  <c r="T461" i="5"/>
  <c r="S462" i="5"/>
  <c r="T462" i="5"/>
  <c r="S463" i="5"/>
  <c r="T463" i="5"/>
  <c r="S464" i="5"/>
  <c r="T464" i="5"/>
  <c r="S465" i="5"/>
  <c r="T465" i="5"/>
  <c r="S466" i="5"/>
  <c r="T466" i="5"/>
  <c r="S467" i="5"/>
  <c r="T467" i="5"/>
  <c r="S468" i="5"/>
  <c r="T468" i="5"/>
  <c r="S469" i="5"/>
  <c r="T469" i="5"/>
  <c r="S470" i="5"/>
  <c r="T470" i="5"/>
  <c r="S471" i="5"/>
  <c r="T471" i="5"/>
  <c r="S472" i="5"/>
  <c r="T472" i="5"/>
  <c r="S473" i="5"/>
  <c r="T473" i="5"/>
  <c r="S474" i="5"/>
  <c r="T474" i="5"/>
  <c r="S475" i="5"/>
  <c r="T475" i="5"/>
  <c r="S476" i="5"/>
  <c r="T476" i="5"/>
  <c r="S477" i="5"/>
  <c r="T477" i="5"/>
  <c r="S478" i="5"/>
  <c r="T478" i="5"/>
  <c r="S479" i="5"/>
  <c r="T479" i="5"/>
  <c r="S480" i="5"/>
  <c r="T480" i="5"/>
  <c r="S481" i="5"/>
  <c r="T481" i="5"/>
  <c r="S482" i="5"/>
  <c r="T482" i="5"/>
  <c r="S483" i="5"/>
  <c r="T483" i="5"/>
  <c r="S484" i="5"/>
  <c r="T484" i="5"/>
  <c r="S485" i="5"/>
  <c r="T485" i="5"/>
  <c r="S486" i="5"/>
  <c r="T486" i="5"/>
  <c r="S487" i="5"/>
  <c r="T487" i="5"/>
  <c r="S488" i="5"/>
  <c r="T488" i="5"/>
  <c r="S489" i="5"/>
  <c r="T489" i="5"/>
  <c r="S490" i="5"/>
  <c r="T490" i="5"/>
  <c r="S491" i="5"/>
  <c r="T491" i="5"/>
  <c r="S492" i="5"/>
  <c r="T492" i="5"/>
  <c r="S493" i="5"/>
  <c r="T493" i="5"/>
  <c r="S494" i="5"/>
  <c r="T494" i="5"/>
  <c r="S495" i="5"/>
  <c r="T495" i="5"/>
  <c r="S496" i="5"/>
  <c r="T496" i="5"/>
  <c r="S497" i="5"/>
  <c r="T497" i="5"/>
  <c r="S498" i="5"/>
  <c r="T498" i="5"/>
  <c r="S499" i="5"/>
  <c r="T499" i="5"/>
  <c r="S500" i="5"/>
  <c r="T500" i="5"/>
  <c r="S501" i="5"/>
  <c r="T501" i="5"/>
  <c r="S502" i="5"/>
  <c r="T502" i="5"/>
  <c r="S503" i="5"/>
  <c r="T503" i="5"/>
  <c r="S504" i="5"/>
  <c r="T504" i="5"/>
  <c r="S505" i="5"/>
  <c r="T505" i="5"/>
  <c r="S506" i="5"/>
  <c r="T506" i="5"/>
  <c r="T507" i="5"/>
  <c r="S508" i="5"/>
  <c r="T508" i="5"/>
  <c r="T509" i="5"/>
  <c r="S510" i="5"/>
  <c r="T510" i="5"/>
  <c r="S511" i="5"/>
  <c r="T511" i="5"/>
  <c r="S512" i="5"/>
  <c r="T512" i="5"/>
  <c r="S513" i="5"/>
  <c r="T513" i="5"/>
  <c r="S514" i="5"/>
  <c r="T514" i="5"/>
  <c r="S515" i="5"/>
  <c r="T515" i="5"/>
  <c r="S516" i="5"/>
  <c r="T516" i="5"/>
  <c r="S517" i="5"/>
  <c r="T517" i="5"/>
  <c r="S518" i="5"/>
  <c r="T518" i="5"/>
  <c r="S519" i="5"/>
  <c r="T519" i="5"/>
  <c r="S520" i="5"/>
  <c r="T520" i="5"/>
  <c r="S521" i="5"/>
  <c r="T521" i="5"/>
  <c r="S522" i="5"/>
  <c r="T522" i="5"/>
  <c r="S523" i="5"/>
  <c r="T523" i="5"/>
  <c r="S524" i="5"/>
  <c r="T524" i="5"/>
  <c r="S525" i="5"/>
  <c r="T525" i="5"/>
  <c r="S526" i="5"/>
  <c r="T526" i="5"/>
  <c r="S527" i="5"/>
  <c r="T527" i="5"/>
  <c r="S528" i="5"/>
  <c r="T528" i="5"/>
  <c r="S529" i="5"/>
  <c r="T529" i="5"/>
  <c r="S530" i="5"/>
  <c r="T530" i="5"/>
  <c r="S531" i="5"/>
  <c r="T531" i="5"/>
  <c r="S532" i="5"/>
  <c r="T532" i="5"/>
  <c r="S533" i="5"/>
  <c r="T533" i="5"/>
  <c r="S534" i="5"/>
  <c r="T534" i="5"/>
  <c r="S535" i="5"/>
  <c r="T535" i="5"/>
  <c r="S536" i="5"/>
  <c r="T536" i="5"/>
  <c r="S537" i="5"/>
  <c r="T537" i="5"/>
  <c r="S538" i="5"/>
  <c r="T538" i="5"/>
  <c r="S539" i="5"/>
  <c r="T539" i="5"/>
  <c r="S540" i="5"/>
  <c r="T540" i="5"/>
  <c r="S541" i="5"/>
  <c r="T541" i="5"/>
  <c r="S542" i="5"/>
  <c r="T542" i="5"/>
  <c r="S543" i="5"/>
  <c r="T543" i="5"/>
  <c r="T544" i="5"/>
  <c r="S545" i="5"/>
  <c r="T545" i="5"/>
  <c r="S546" i="5"/>
  <c r="T546" i="5"/>
  <c r="S547" i="5"/>
  <c r="T547" i="5"/>
  <c r="S548" i="5"/>
  <c r="T548" i="5"/>
  <c r="S549" i="5"/>
  <c r="T549" i="5"/>
  <c r="S550" i="5"/>
  <c r="T550" i="5"/>
  <c r="S551" i="5"/>
  <c r="T551" i="5"/>
  <c r="S552" i="5"/>
  <c r="T552" i="5"/>
  <c r="S553" i="5"/>
  <c r="T553" i="5"/>
  <c r="S554" i="5"/>
  <c r="T554" i="5"/>
  <c r="S555" i="5"/>
  <c r="T555" i="5"/>
  <c r="S556" i="5"/>
  <c r="T556" i="5"/>
  <c r="S557" i="5"/>
  <c r="T557" i="5"/>
  <c r="S558" i="5"/>
  <c r="T558" i="5"/>
  <c r="S559" i="5"/>
  <c r="T559" i="5"/>
  <c r="S560" i="5"/>
  <c r="T560" i="5"/>
  <c r="S561" i="5"/>
  <c r="T561" i="5"/>
  <c r="S562" i="5"/>
  <c r="T562" i="5"/>
  <c r="S563" i="5"/>
  <c r="T563" i="5"/>
  <c r="S564" i="5"/>
  <c r="T564" i="5"/>
  <c r="S565" i="5"/>
  <c r="T565" i="5"/>
  <c r="S566" i="5"/>
  <c r="T566" i="5"/>
  <c r="S567" i="5"/>
  <c r="T567" i="5"/>
  <c r="S568" i="5"/>
  <c r="T568" i="5"/>
  <c r="S569" i="5"/>
  <c r="T569" i="5"/>
  <c r="S570" i="5"/>
  <c r="T570" i="5"/>
  <c r="S571" i="5"/>
  <c r="T571" i="5"/>
  <c r="T572" i="5"/>
  <c r="S573" i="5"/>
  <c r="T573" i="5"/>
  <c r="S574" i="5"/>
  <c r="T574" i="5"/>
  <c r="S575" i="5"/>
  <c r="T575" i="5"/>
  <c r="S576" i="5"/>
  <c r="T576" i="5"/>
  <c r="S577" i="5"/>
  <c r="T577" i="5"/>
  <c r="S578" i="5"/>
  <c r="T578" i="5"/>
  <c r="S579" i="5"/>
  <c r="T579" i="5"/>
  <c r="S580" i="5"/>
  <c r="T580" i="5"/>
  <c r="S581" i="5"/>
  <c r="T581" i="5"/>
  <c r="S582" i="5"/>
  <c r="T582" i="5"/>
  <c r="S583" i="5"/>
  <c r="T583" i="5"/>
  <c r="S584" i="5"/>
  <c r="T584" i="5"/>
  <c r="S585" i="5"/>
  <c r="T585" i="5"/>
  <c r="S586" i="5"/>
  <c r="T586" i="5"/>
  <c r="S587" i="5"/>
  <c r="T587" i="5"/>
  <c r="S588" i="5"/>
  <c r="T588" i="5"/>
  <c r="S589" i="5"/>
  <c r="T589" i="5"/>
  <c r="S590" i="5"/>
  <c r="T590" i="5"/>
  <c r="S591" i="5"/>
  <c r="T591" i="5"/>
  <c r="S592" i="5"/>
  <c r="T592" i="5"/>
  <c r="S593" i="5"/>
  <c r="T593" i="5"/>
  <c r="S594" i="5"/>
  <c r="T594" i="5"/>
  <c r="S595" i="5"/>
  <c r="T595" i="5"/>
  <c r="S596" i="5"/>
  <c r="T596" i="5"/>
  <c r="S597" i="5"/>
  <c r="T597" i="5"/>
  <c r="S598" i="5"/>
  <c r="T598" i="5"/>
  <c r="S599" i="5"/>
  <c r="T599" i="5"/>
  <c r="S600" i="5"/>
  <c r="T600" i="5"/>
  <c r="S601" i="5"/>
  <c r="T601" i="5"/>
  <c r="S602" i="5"/>
  <c r="T602" i="5"/>
  <c r="S603" i="5"/>
  <c r="T603" i="5"/>
  <c r="S604" i="5"/>
  <c r="T604" i="5"/>
  <c r="S605" i="5"/>
  <c r="T605" i="5"/>
  <c r="S606" i="5"/>
  <c r="T606" i="5"/>
  <c r="S607" i="5"/>
  <c r="T607" i="5"/>
  <c r="S608" i="5"/>
  <c r="T608" i="5"/>
  <c r="S609" i="5"/>
  <c r="T609" i="5"/>
  <c r="S610" i="5"/>
  <c r="T610" i="5"/>
  <c r="S611" i="5"/>
  <c r="T611" i="5"/>
  <c r="S612" i="5"/>
  <c r="T612" i="5"/>
  <c r="S613" i="5"/>
  <c r="T613" i="5"/>
  <c r="S614" i="5"/>
  <c r="T614" i="5"/>
  <c r="S615" i="5"/>
  <c r="T615" i="5"/>
  <c r="S616" i="5"/>
  <c r="T616" i="5"/>
  <c r="S617" i="5"/>
  <c r="T617" i="5"/>
  <c r="S618" i="5"/>
  <c r="T618" i="5"/>
  <c r="S619" i="5"/>
  <c r="T619" i="5"/>
  <c r="S620" i="5"/>
  <c r="T620" i="5"/>
  <c r="S621" i="5"/>
  <c r="T621" i="5"/>
  <c r="S622" i="5"/>
  <c r="T622" i="5"/>
  <c r="S623" i="5"/>
  <c r="T623" i="5"/>
  <c r="S624" i="5"/>
  <c r="T624" i="5"/>
  <c r="S625" i="5"/>
  <c r="T625" i="5"/>
  <c r="S626" i="5"/>
  <c r="T626" i="5"/>
  <c r="S627" i="5"/>
  <c r="T627" i="5"/>
  <c r="S628" i="5"/>
  <c r="T628" i="5"/>
  <c r="S629" i="5"/>
  <c r="T629" i="5"/>
  <c r="S630" i="5"/>
  <c r="T630" i="5"/>
  <c r="S631" i="5"/>
  <c r="T631" i="5"/>
  <c r="S632" i="5"/>
  <c r="T632" i="5"/>
  <c r="S633" i="5"/>
  <c r="T633" i="5"/>
  <c r="S634" i="5"/>
  <c r="T634" i="5"/>
  <c r="S635" i="5"/>
  <c r="T635" i="5"/>
  <c r="S636" i="5"/>
  <c r="T636" i="5"/>
  <c r="S637" i="5"/>
  <c r="T637" i="5"/>
  <c r="S638" i="5"/>
  <c r="T638" i="5"/>
  <c r="S639" i="5"/>
  <c r="T639" i="5"/>
  <c r="S640" i="5"/>
  <c r="T640" i="5"/>
  <c r="S641" i="5"/>
  <c r="T641" i="5"/>
  <c r="S642" i="5"/>
  <c r="T642" i="5"/>
  <c r="S643" i="5"/>
  <c r="T643" i="5"/>
  <c r="S644" i="5"/>
  <c r="T644" i="5"/>
  <c r="S645" i="5"/>
  <c r="T645" i="5"/>
  <c r="S646" i="5"/>
  <c r="T646" i="5"/>
  <c r="S647" i="5"/>
  <c r="T647" i="5"/>
  <c r="S648" i="5"/>
  <c r="T648" i="5"/>
  <c r="S649" i="5"/>
  <c r="T649" i="5"/>
  <c r="S650" i="5"/>
  <c r="T650" i="5"/>
  <c r="S651" i="5"/>
  <c r="T651" i="5"/>
  <c r="S652" i="5"/>
  <c r="T652" i="5"/>
  <c r="S653" i="5"/>
  <c r="T653" i="5"/>
  <c r="S654" i="5"/>
  <c r="T654" i="5"/>
  <c r="S655" i="5"/>
  <c r="T655" i="5"/>
  <c r="S656" i="5"/>
  <c r="T656" i="5"/>
  <c r="S657" i="5"/>
  <c r="T657" i="5"/>
  <c r="S658" i="5"/>
  <c r="T658" i="5"/>
  <c r="S659" i="5"/>
  <c r="T659" i="5"/>
  <c r="S660" i="5"/>
  <c r="T660" i="5"/>
  <c r="S661" i="5"/>
  <c r="T661" i="5"/>
  <c r="S662" i="5"/>
  <c r="T662" i="5"/>
  <c r="S663" i="5"/>
  <c r="T663" i="5"/>
  <c r="S664" i="5"/>
  <c r="T664" i="5"/>
  <c r="S665" i="5"/>
  <c r="T665" i="5"/>
  <c r="S666" i="5"/>
  <c r="T666" i="5"/>
  <c r="S667" i="5"/>
  <c r="T667" i="5"/>
  <c r="T668" i="5"/>
  <c r="T669" i="5"/>
  <c r="S670" i="5"/>
  <c r="T670" i="5"/>
  <c r="T671" i="5"/>
  <c r="S672" i="5"/>
  <c r="T672" i="5"/>
  <c r="T673" i="5"/>
  <c r="T674" i="5"/>
  <c r="S675" i="5"/>
  <c r="T675" i="5"/>
  <c r="S676" i="5"/>
  <c r="T676" i="5"/>
  <c r="S677" i="5"/>
  <c r="T677" i="5"/>
  <c r="S678" i="5"/>
  <c r="T678" i="5"/>
  <c r="S679" i="5"/>
  <c r="T679" i="5"/>
  <c r="S680" i="5"/>
  <c r="T680" i="5"/>
  <c r="S681" i="5"/>
  <c r="T681" i="5"/>
  <c r="S682" i="5"/>
  <c r="T682" i="5"/>
  <c r="S683" i="5"/>
  <c r="T683" i="5"/>
  <c r="S684" i="5"/>
  <c r="T684" i="5"/>
  <c r="S685" i="5"/>
  <c r="T685" i="5"/>
  <c r="S686" i="5"/>
  <c r="T686" i="5"/>
  <c r="S687" i="5"/>
  <c r="T687" i="5"/>
  <c r="S688" i="5"/>
  <c r="T688" i="5"/>
  <c r="S689" i="5"/>
  <c r="T689" i="5"/>
  <c r="S690" i="5"/>
  <c r="T690" i="5"/>
  <c r="S691" i="5"/>
  <c r="T691" i="5"/>
  <c r="S692" i="5"/>
  <c r="T692" i="5"/>
  <c r="S693" i="5"/>
  <c r="T693" i="5"/>
  <c r="S694" i="5"/>
  <c r="T694" i="5"/>
  <c r="S695" i="5"/>
  <c r="T695" i="5"/>
  <c r="S696" i="5"/>
  <c r="T696" i="5"/>
  <c r="S697" i="5"/>
  <c r="T697" i="5"/>
  <c r="S698" i="5"/>
  <c r="T698" i="5"/>
  <c r="S699" i="5"/>
  <c r="T699" i="5"/>
  <c r="S700" i="5"/>
  <c r="T700" i="5"/>
  <c r="S701" i="5"/>
  <c r="T701" i="5"/>
  <c r="S702" i="5"/>
  <c r="T702" i="5"/>
  <c r="S703" i="5"/>
  <c r="T703" i="5"/>
  <c r="S704" i="5"/>
  <c r="T704" i="5"/>
  <c r="S705" i="5"/>
  <c r="T705" i="5"/>
  <c r="S706" i="5"/>
  <c r="T706" i="5"/>
  <c r="S707" i="5"/>
  <c r="T707" i="5"/>
  <c r="S708" i="5"/>
  <c r="T708" i="5"/>
  <c r="S709" i="5"/>
  <c r="T709" i="5"/>
  <c r="S710" i="5"/>
  <c r="T710" i="5"/>
  <c r="S711" i="5"/>
  <c r="T711" i="5"/>
  <c r="S712" i="5"/>
  <c r="T712" i="5"/>
  <c r="S713" i="5"/>
  <c r="T713" i="5"/>
  <c r="S714" i="5"/>
  <c r="T714" i="5"/>
  <c r="S715" i="5"/>
  <c r="T715" i="5"/>
  <c r="S716" i="5"/>
  <c r="T716" i="5"/>
  <c r="S717" i="5"/>
  <c r="T717" i="5"/>
  <c r="S718" i="5"/>
  <c r="T718" i="5"/>
  <c r="S719" i="5"/>
  <c r="T719" i="5"/>
  <c r="S720" i="5"/>
  <c r="T720" i="5"/>
  <c r="S721" i="5"/>
  <c r="T721" i="5"/>
  <c r="S722" i="5"/>
  <c r="T722" i="5"/>
  <c r="S723" i="5"/>
  <c r="T723" i="5"/>
  <c r="S724" i="5"/>
  <c r="T724" i="5"/>
  <c r="S725" i="5"/>
  <c r="T725" i="5"/>
  <c r="S726" i="5"/>
  <c r="T726" i="5"/>
  <c r="S727" i="5"/>
  <c r="T727" i="5"/>
  <c r="S728" i="5"/>
  <c r="T728" i="5"/>
  <c r="S729" i="5"/>
  <c r="T729" i="5"/>
  <c r="S730" i="5"/>
  <c r="T730" i="5"/>
  <c r="S731" i="5"/>
  <c r="T731" i="5"/>
  <c r="S732" i="5"/>
  <c r="T732" i="5"/>
  <c r="S733" i="5"/>
  <c r="T733" i="5"/>
  <c r="S734" i="5"/>
  <c r="T734" i="5"/>
  <c r="S735" i="5"/>
  <c r="T735" i="5"/>
  <c r="S736" i="5"/>
  <c r="T736" i="5"/>
  <c r="S737" i="5"/>
  <c r="T737" i="5"/>
  <c r="S738" i="5"/>
  <c r="T738" i="5"/>
  <c r="S739" i="5"/>
  <c r="T739" i="5"/>
  <c r="S740" i="5"/>
  <c r="T740" i="5"/>
  <c r="S741" i="5"/>
  <c r="T741" i="5"/>
  <c r="S742" i="5"/>
  <c r="T742" i="5"/>
  <c r="T743" i="5"/>
  <c r="S744" i="5"/>
  <c r="T744" i="5"/>
  <c r="S745" i="5"/>
  <c r="T745" i="5"/>
  <c r="S746" i="5"/>
  <c r="T746" i="5"/>
  <c r="S747" i="5"/>
  <c r="T747" i="5"/>
  <c r="S748" i="5"/>
  <c r="T748" i="5"/>
  <c r="S749" i="5"/>
  <c r="T749" i="5"/>
  <c r="S750" i="5"/>
  <c r="T750" i="5"/>
  <c r="S751" i="5"/>
  <c r="T751" i="5"/>
  <c r="S752" i="5"/>
  <c r="T752" i="5"/>
  <c r="S753" i="5"/>
  <c r="T753" i="5"/>
  <c r="S754" i="5"/>
  <c r="T754" i="5"/>
  <c r="S755" i="5"/>
  <c r="T755" i="5"/>
  <c r="S756" i="5"/>
  <c r="T756" i="5"/>
  <c r="S757" i="5"/>
  <c r="T757" i="5"/>
  <c r="T758" i="5"/>
  <c r="T759" i="5"/>
  <c r="S760" i="5"/>
  <c r="T760" i="5"/>
  <c r="S761" i="5"/>
  <c r="T761" i="5"/>
  <c r="S762" i="5"/>
  <c r="T762" i="5"/>
  <c r="S763" i="5"/>
  <c r="T763" i="5"/>
  <c r="S764" i="5"/>
  <c r="T764" i="5"/>
  <c r="S765" i="5"/>
  <c r="T765" i="5"/>
  <c r="S766" i="5"/>
  <c r="T766" i="5"/>
  <c r="S767" i="5"/>
  <c r="T767" i="5"/>
  <c r="S768" i="5"/>
  <c r="T768" i="5"/>
  <c r="S769" i="5"/>
  <c r="T769" i="5"/>
  <c r="S770" i="5"/>
  <c r="T770" i="5"/>
  <c r="S771" i="5"/>
  <c r="T771" i="5"/>
  <c r="S772" i="5"/>
  <c r="T772" i="5"/>
  <c r="S773" i="5"/>
  <c r="T773" i="5"/>
  <c r="T774" i="5"/>
  <c r="S775" i="5"/>
  <c r="T775" i="5"/>
  <c r="S776" i="5"/>
  <c r="T776" i="5"/>
  <c r="S777" i="5"/>
  <c r="T777" i="5"/>
  <c r="S778" i="5"/>
  <c r="T778" i="5"/>
  <c r="S779" i="5"/>
  <c r="T779" i="5"/>
  <c r="S780" i="5"/>
  <c r="T780" i="5"/>
  <c r="S781" i="5"/>
  <c r="T781" i="5"/>
  <c r="S782" i="5"/>
  <c r="T782" i="5"/>
  <c r="S783" i="5"/>
  <c r="T783" i="5"/>
  <c r="S784" i="5"/>
  <c r="T784" i="5"/>
  <c r="S785" i="5"/>
  <c r="T785" i="5"/>
  <c r="S786" i="5"/>
  <c r="T786" i="5"/>
  <c r="S787" i="5"/>
  <c r="T787" i="5"/>
  <c r="S788" i="5"/>
  <c r="T788" i="5"/>
  <c r="S789" i="5"/>
  <c r="T789" i="5"/>
  <c r="S790" i="5"/>
  <c r="T790" i="5"/>
  <c r="S791" i="5"/>
  <c r="T791" i="5"/>
  <c r="S792" i="5"/>
  <c r="T792" i="5"/>
  <c r="S793" i="5"/>
  <c r="T793" i="5"/>
  <c r="S794" i="5"/>
  <c r="T794" i="5"/>
  <c r="S795" i="5"/>
  <c r="T795" i="5"/>
  <c r="T796" i="5"/>
  <c r="S797" i="5"/>
  <c r="T797" i="5"/>
  <c r="S798" i="5"/>
  <c r="T798" i="5"/>
  <c r="S799" i="5"/>
  <c r="T799" i="5"/>
  <c r="T800" i="5"/>
  <c r="S801" i="5"/>
  <c r="T801" i="5"/>
  <c r="S802" i="5"/>
  <c r="T802" i="5"/>
  <c r="S803" i="5"/>
  <c r="T803" i="5"/>
  <c r="S804" i="5"/>
  <c r="T804" i="5"/>
  <c r="T805" i="5"/>
  <c r="S806" i="5"/>
  <c r="T806" i="5"/>
  <c r="S807" i="5"/>
  <c r="T807" i="5"/>
  <c r="S808" i="5"/>
  <c r="T808" i="5"/>
  <c r="S809" i="5"/>
  <c r="T809" i="5"/>
  <c r="S810" i="5"/>
  <c r="T810" i="5"/>
  <c r="S811" i="5"/>
  <c r="T811" i="5"/>
  <c r="S812" i="5"/>
  <c r="T812" i="5"/>
  <c r="S813" i="5"/>
  <c r="T813" i="5"/>
  <c r="S814" i="5"/>
  <c r="T814" i="5"/>
  <c r="S815" i="5"/>
  <c r="T815" i="5"/>
  <c r="S816" i="5"/>
  <c r="T816" i="5"/>
  <c r="S817" i="5"/>
  <c r="T817" i="5"/>
  <c r="S818" i="5"/>
  <c r="T818" i="5"/>
  <c r="S819" i="5"/>
  <c r="T819" i="5"/>
  <c r="S820" i="5"/>
  <c r="T820" i="5"/>
  <c r="S821" i="5"/>
  <c r="T821" i="5"/>
  <c r="S822" i="5"/>
  <c r="T822" i="5"/>
  <c r="S823" i="5"/>
  <c r="T823" i="5"/>
  <c r="S824" i="5"/>
  <c r="T824" i="5"/>
  <c r="S825" i="5"/>
  <c r="T825" i="5"/>
  <c r="S826" i="5"/>
  <c r="T826" i="5"/>
  <c r="S827" i="5"/>
  <c r="T827" i="5"/>
  <c r="S828" i="5"/>
  <c r="T828" i="5"/>
  <c r="S829" i="5"/>
  <c r="T829" i="5"/>
  <c r="S830" i="5"/>
  <c r="T830" i="5"/>
  <c r="S831" i="5"/>
  <c r="T831" i="5"/>
  <c r="S832" i="5"/>
  <c r="T832" i="5"/>
  <c r="S833" i="5"/>
  <c r="T833" i="5"/>
  <c r="S834" i="5"/>
  <c r="T834" i="5"/>
  <c r="S835" i="5"/>
  <c r="T835" i="5"/>
  <c r="S836" i="5"/>
  <c r="T836" i="5"/>
  <c r="S837" i="5"/>
  <c r="T837" i="5"/>
  <c r="S838" i="5"/>
  <c r="T838" i="5"/>
  <c r="S839" i="5"/>
  <c r="T839" i="5"/>
  <c r="S840" i="5"/>
  <c r="T840" i="5"/>
  <c r="S841" i="5"/>
  <c r="T841" i="5"/>
  <c r="S842" i="5"/>
  <c r="T842" i="5"/>
  <c r="S843" i="5"/>
  <c r="T843" i="5"/>
  <c r="S844" i="5"/>
  <c r="T844" i="5"/>
  <c r="S845" i="5"/>
  <c r="T845" i="5"/>
  <c r="S846" i="5"/>
  <c r="T846" i="5"/>
  <c r="S847" i="5"/>
  <c r="T847" i="5"/>
  <c r="S848" i="5"/>
  <c r="T848" i="5"/>
  <c r="S849" i="5"/>
  <c r="T849" i="5"/>
  <c r="S850" i="5"/>
  <c r="T850" i="5"/>
  <c r="T851" i="5"/>
  <c r="T852" i="5"/>
  <c r="S853" i="5"/>
  <c r="T853" i="5"/>
  <c r="T854" i="5"/>
  <c r="T855" i="5"/>
  <c r="S856" i="5"/>
  <c r="T856" i="5"/>
  <c r="S857" i="5"/>
  <c r="T857" i="5"/>
  <c r="S858" i="5"/>
  <c r="T858" i="5"/>
  <c r="S859" i="5"/>
  <c r="T859" i="5"/>
  <c r="S860" i="5"/>
  <c r="T860" i="5"/>
  <c r="S861" i="5"/>
  <c r="T861" i="5"/>
  <c r="S862" i="5"/>
  <c r="T862" i="5"/>
  <c r="T863" i="5"/>
  <c r="S864" i="5"/>
  <c r="T864" i="5"/>
  <c r="S865" i="5"/>
  <c r="T865" i="5"/>
  <c r="T866" i="5"/>
  <c r="S867" i="5"/>
  <c r="T867" i="5"/>
  <c r="S868" i="5"/>
  <c r="T868" i="5"/>
  <c r="S869" i="5"/>
  <c r="T869" i="5"/>
  <c r="S870" i="5"/>
  <c r="T870" i="5"/>
  <c r="S871" i="5"/>
  <c r="T871" i="5"/>
  <c r="T872" i="5"/>
  <c r="S873" i="5"/>
  <c r="T873" i="5"/>
  <c r="S874" i="5"/>
  <c r="T874" i="5"/>
  <c r="S875" i="5"/>
  <c r="T875" i="5"/>
  <c r="S876" i="5"/>
  <c r="T876" i="5"/>
  <c r="S877" i="5"/>
  <c r="T877" i="5"/>
  <c r="S878" i="5"/>
  <c r="T878" i="5"/>
  <c r="S879" i="5"/>
  <c r="T879" i="5"/>
  <c r="S880" i="5"/>
  <c r="T880" i="5"/>
  <c r="S881" i="5"/>
  <c r="T881" i="5"/>
  <c r="T882" i="5"/>
  <c r="S883" i="5"/>
  <c r="T883" i="5"/>
  <c r="S884" i="5"/>
  <c r="T884" i="5"/>
  <c r="S885" i="5"/>
  <c r="T885" i="5"/>
  <c r="S886" i="5"/>
  <c r="T886" i="5"/>
  <c r="T887" i="5"/>
  <c r="T888" i="5"/>
  <c r="S889" i="5"/>
  <c r="T889" i="5"/>
  <c r="S890" i="5"/>
  <c r="T890" i="5"/>
  <c r="S891" i="5"/>
  <c r="T891" i="5"/>
  <c r="S892" i="5"/>
  <c r="T892" i="5"/>
  <c r="S893" i="5"/>
  <c r="T893" i="5"/>
  <c r="S894" i="5"/>
  <c r="T894" i="5"/>
  <c r="S895" i="5"/>
  <c r="T895" i="5"/>
  <c r="S896" i="5"/>
  <c r="T896" i="5"/>
  <c r="T897" i="5"/>
  <c r="S898" i="5"/>
  <c r="T898" i="5"/>
  <c r="S899" i="5"/>
  <c r="T899" i="5"/>
  <c r="S900" i="5"/>
  <c r="T900" i="5"/>
  <c r="S901" i="5"/>
  <c r="T901" i="5"/>
  <c r="S902" i="5"/>
  <c r="T902" i="5"/>
  <c r="S903" i="5"/>
  <c r="T903" i="5"/>
  <c r="S904" i="5"/>
  <c r="T904" i="5"/>
  <c r="S905" i="5"/>
  <c r="T905" i="5"/>
  <c r="S906" i="5"/>
  <c r="T906" i="5"/>
  <c r="S907" i="5"/>
  <c r="T907" i="5"/>
  <c r="S908" i="5"/>
  <c r="T908" i="5"/>
  <c r="S909" i="5"/>
  <c r="T909" i="5"/>
  <c r="S910" i="5"/>
  <c r="T910" i="5"/>
  <c r="T911" i="5"/>
  <c r="T912" i="5"/>
  <c r="S913" i="5"/>
  <c r="T913" i="5"/>
  <c r="S914" i="5"/>
  <c r="T914" i="5"/>
  <c r="S915" i="5"/>
  <c r="T915" i="5"/>
  <c r="S916" i="5"/>
  <c r="T916" i="5"/>
  <c r="S917" i="5"/>
  <c r="T917" i="5"/>
  <c r="S918" i="5"/>
  <c r="T918" i="5"/>
  <c r="S919" i="5"/>
  <c r="T919" i="5"/>
  <c r="S920" i="5"/>
  <c r="T920" i="5"/>
  <c r="S921" i="5"/>
  <c r="T921" i="5"/>
  <c r="S922" i="5"/>
  <c r="T922" i="5"/>
  <c r="S923" i="5"/>
  <c r="T923" i="5"/>
  <c r="S924" i="5"/>
  <c r="T924" i="5"/>
  <c r="S925" i="5"/>
  <c r="T925" i="5"/>
  <c r="S926" i="5"/>
  <c r="T926" i="5"/>
  <c r="S927" i="5"/>
  <c r="T927" i="5"/>
  <c r="S928" i="5"/>
  <c r="T928" i="5"/>
  <c r="S929" i="5"/>
  <c r="T929" i="5"/>
  <c r="S930" i="5"/>
  <c r="T930" i="5"/>
  <c r="S931" i="5"/>
  <c r="T931" i="5"/>
  <c r="T932" i="5"/>
  <c r="S933" i="5"/>
  <c r="T933" i="5"/>
  <c r="S934" i="5"/>
  <c r="T934" i="5"/>
  <c r="S935" i="5"/>
  <c r="T935" i="5"/>
  <c r="S936" i="5"/>
  <c r="T936" i="5"/>
  <c r="S937" i="5"/>
  <c r="T937" i="5"/>
  <c r="S938" i="5"/>
  <c r="T938" i="5"/>
  <c r="S939" i="5"/>
  <c r="T939" i="5"/>
  <c r="S940" i="5"/>
  <c r="T940" i="5"/>
  <c r="S941" i="5"/>
  <c r="T941" i="5"/>
  <c r="S942" i="5"/>
  <c r="T942" i="5"/>
  <c r="S943" i="5"/>
  <c r="T943" i="5"/>
  <c r="S944" i="5"/>
  <c r="T944" i="5"/>
  <c r="S945" i="5"/>
  <c r="T945" i="5"/>
  <c r="S946" i="5"/>
  <c r="T946" i="5"/>
  <c r="S947" i="5"/>
  <c r="T947" i="5"/>
  <c r="S948" i="5"/>
  <c r="T948" i="5"/>
  <c r="S949" i="5"/>
  <c r="T949" i="5"/>
  <c r="S950" i="5"/>
  <c r="T950" i="5"/>
  <c r="S951" i="5"/>
  <c r="T951" i="5"/>
  <c r="S952" i="5"/>
  <c r="T952" i="5"/>
  <c r="S953" i="5"/>
  <c r="T953" i="5"/>
  <c r="S954" i="5"/>
  <c r="T954" i="5"/>
  <c r="S955" i="5"/>
  <c r="T955" i="5"/>
  <c r="S956" i="5"/>
  <c r="T956" i="5"/>
  <c r="S957" i="5"/>
  <c r="T957" i="5"/>
  <c r="S958" i="5"/>
  <c r="T958" i="5"/>
  <c r="S959" i="5"/>
  <c r="T959" i="5"/>
  <c r="S960" i="5"/>
  <c r="T960" i="5"/>
  <c r="S961" i="5"/>
  <c r="T961" i="5"/>
  <c r="S962" i="5"/>
  <c r="T962" i="5"/>
  <c r="S963" i="5"/>
  <c r="T963" i="5"/>
  <c r="S964" i="5"/>
  <c r="T964" i="5"/>
  <c r="S965" i="5"/>
  <c r="T965" i="5"/>
  <c r="S966" i="5"/>
  <c r="T966" i="5"/>
  <c r="S967" i="5"/>
  <c r="T967" i="5"/>
  <c r="S968" i="5"/>
  <c r="T968" i="5"/>
  <c r="S969" i="5"/>
  <c r="T969" i="5"/>
  <c r="S970" i="5"/>
  <c r="T970" i="5"/>
  <c r="S971" i="5"/>
  <c r="T971" i="5"/>
  <c r="S972" i="5"/>
  <c r="T972" i="5"/>
  <c r="S973" i="5"/>
  <c r="T973" i="5"/>
  <c r="S974" i="5"/>
  <c r="T974" i="5"/>
  <c r="S975" i="5"/>
  <c r="T975" i="5"/>
  <c r="S976" i="5"/>
  <c r="T976" i="5"/>
  <c r="S977" i="5"/>
  <c r="T977" i="5"/>
  <c r="S978" i="5"/>
  <c r="T978" i="5"/>
  <c r="S979" i="5"/>
  <c r="T979" i="5"/>
  <c r="S980" i="5"/>
  <c r="T980" i="5"/>
  <c r="S981" i="5"/>
  <c r="T981" i="5"/>
  <c r="S982" i="5"/>
  <c r="T982" i="5"/>
  <c r="S983" i="5"/>
  <c r="T983" i="5"/>
  <c r="S984" i="5"/>
  <c r="T984" i="5"/>
  <c r="S985" i="5"/>
  <c r="T985" i="5"/>
  <c r="S986" i="5"/>
  <c r="T986" i="5"/>
  <c r="T987" i="5"/>
  <c r="T988" i="5"/>
  <c r="S989" i="5"/>
  <c r="T989" i="5"/>
  <c r="S990" i="5"/>
  <c r="T990" i="5"/>
  <c r="S991" i="5"/>
  <c r="T991" i="5"/>
  <c r="S992" i="5"/>
  <c r="T992" i="5"/>
  <c r="S993" i="5"/>
  <c r="T993" i="5"/>
  <c r="S994" i="5"/>
  <c r="T994" i="5"/>
  <c r="S995" i="5"/>
  <c r="T995" i="5"/>
  <c r="S996" i="5"/>
  <c r="T996" i="5"/>
  <c r="S997" i="5"/>
  <c r="T997" i="5"/>
  <c r="S998" i="5"/>
  <c r="T998" i="5"/>
  <c r="S999" i="5"/>
  <c r="T999" i="5"/>
  <c r="S1000" i="5"/>
  <c r="T1000" i="5"/>
  <c r="S1001" i="5"/>
  <c r="T1001" i="5"/>
  <c r="S1002" i="5"/>
  <c r="T1002" i="5"/>
  <c r="S1003" i="5"/>
  <c r="T1003" i="5"/>
  <c r="S1004" i="5"/>
  <c r="T1004" i="5"/>
  <c r="S1005" i="5"/>
  <c r="T1005" i="5"/>
  <c r="S1006" i="5"/>
  <c r="T1006" i="5"/>
  <c r="S1007" i="5"/>
  <c r="T1007" i="5"/>
  <c r="S1008" i="5"/>
  <c r="T1008" i="5"/>
  <c r="S1009" i="5"/>
  <c r="T1009" i="5"/>
  <c r="S1010" i="5"/>
  <c r="T1010" i="5"/>
  <c r="S1011" i="5"/>
  <c r="T1011" i="5"/>
  <c r="S1012" i="5"/>
  <c r="T1012" i="5"/>
  <c r="S1013" i="5"/>
  <c r="T1013" i="5"/>
  <c r="S1014" i="5"/>
  <c r="T1014" i="5"/>
  <c r="S1015" i="5"/>
  <c r="T1015" i="5"/>
  <c r="S1016" i="5"/>
  <c r="T1016" i="5"/>
  <c r="S1017" i="5"/>
  <c r="T1017" i="5"/>
  <c r="S1018" i="5"/>
  <c r="T1018" i="5"/>
  <c r="S1019" i="5"/>
  <c r="T1019" i="5"/>
  <c r="S1020" i="5"/>
  <c r="T1020" i="5"/>
  <c r="S1021" i="5"/>
  <c r="T1021" i="5"/>
  <c r="S1022" i="5"/>
  <c r="T1022" i="5"/>
  <c r="S1023" i="5"/>
  <c r="T1023" i="5"/>
  <c r="S1024" i="5"/>
  <c r="T1024" i="5"/>
  <c r="S1025" i="5"/>
  <c r="T1025" i="5"/>
  <c r="S1026" i="5"/>
  <c r="T1026" i="5"/>
  <c r="S1027" i="5"/>
  <c r="T1027" i="5"/>
  <c r="S1028" i="5"/>
  <c r="T1028" i="5"/>
  <c r="T1029" i="5"/>
  <c r="S1030" i="5"/>
  <c r="T1030" i="5"/>
  <c r="S1031" i="5"/>
  <c r="T1031" i="5"/>
  <c r="S1032" i="5"/>
  <c r="T1032" i="5"/>
  <c r="S1033" i="5"/>
  <c r="T1033" i="5"/>
  <c r="S1034" i="5"/>
  <c r="T1034" i="5"/>
  <c r="S1035" i="5"/>
  <c r="T1035" i="5"/>
  <c r="S1036" i="5"/>
  <c r="T1036" i="5"/>
  <c r="S1037" i="5"/>
  <c r="T1037" i="5"/>
  <c r="S1038" i="5"/>
  <c r="T1038" i="5"/>
  <c r="S1039" i="5"/>
  <c r="T1039" i="5"/>
  <c r="S1040" i="5"/>
  <c r="T1040" i="5"/>
  <c r="S1041" i="5"/>
  <c r="T1041" i="5"/>
  <c r="S1042" i="5"/>
  <c r="T1042" i="5"/>
  <c r="S1043" i="5"/>
  <c r="T1043" i="5"/>
  <c r="S1044" i="5"/>
  <c r="T1044" i="5"/>
  <c r="S1045" i="5"/>
  <c r="T1045" i="5"/>
  <c r="S1046" i="5"/>
  <c r="T1046" i="5"/>
  <c r="S1047" i="5"/>
  <c r="T1047" i="5"/>
  <c r="S1048" i="5"/>
  <c r="T1048" i="5"/>
  <c r="T1049" i="5"/>
  <c r="T1050" i="5"/>
  <c r="T1051" i="5"/>
  <c r="S1052" i="5"/>
  <c r="T1052" i="5"/>
  <c r="S1053" i="5"/>
  <c r="T1053" i="5"/>
  <c r="S1054" i="5"/>
  <c r="T1054" i="5"/>
  <c r="S1055" i="5"/>
  <c r="T1055" i="5"/>
  <c r="S1056" i="5"/>
  <c r="T1056" i="5"/>
  <c r="S1057" i="5"/>
  <c r="T1057" i="5"/>
  <c r="S1058" i="5"/>
  <c r="T1058" i="5"/>
  <c r="T1059" i="5"/>
  <c r="S1060" i="5"/>
  <c r="T1060" i="5"/>
  <c r="S1061" i="5"/>
  <c r="T1061" i="5"/>
  <c r="S1062" i="5"/>
  <c r="T1062" i="5"/>
  <c r="S1063" i="5"/>
  <c r="T1063" i="5"/>
  <c r="S1064" i="5"/>
  <c r="T1064" i="5"/>
  <c r="S1065" i="5"/>
  <c r="T1065" i="5"/>
  <c r="S1066" i="5"/>
  <c r="T1066" i="5"/>
  <c r="S1067" i="5"/>
  <c r="T1067" i="5"/>
  <c r="S1068" i="5"/>
  <c r="T1068" i="5"/>
  <c r="S1069" i="5"/>
  <c r="T1069" i="5"/>
  <c r="S1070" i="5"/>
  <c r="T1070" i="5"/>
  <c r="S1071" i="5"/>
  <c r="T1071" i="5"/>
  <c r="S1072" i="5"/>
  <c r="T1072" i="5"/>
  <c r="S1073" i="5"/>
  <c r="T1073" i="5"/>
  <c r="S1074" i="5"/>
  <c r="T1074" i="5"/>
  <c r="S1075" i="5"/>
  <c r="T1075" i="5"/>
  <c r="S1076" i="5"/>
  <c r="T1076" i="5"/>
  <c r="S1077" i="5"/>
  <c r="T1077" i="5"/>
  <c r="S1078" i="5"/>
  <c r="T1078" i="5"/>
  <c r="S1079" i="5"/>
  <c r="T1079" i="5"/>
  <c r="S1080" i="5"/>
  <c r="T1080" i="5"/>
  <c r="T1081" i="5"/>
  <c r="S1082" i="5"/>
  <c r="T1082" i="5"/>
  <c r="S1083" i="5"/>
  <c r="T1083" i="5"/>
  <c r="S1084" i="5"/>
  <c r="T1084" i="5"/>
  <c r="S1085" i="5"/>
  <c r="T1085" i="5"/>
  <c r="S1086" i="5"/>
  <c r="T1086" i="5"/>
  <c r="S1087" i="5"/>
  <c r="T1087" i="5"/>
  <c r="S1088" i="5"/>
  <c r="T1088" i="5"/>
  <c r="S1089" i="5"/>
  <c r="T1089" i="5"/>
  <c r="S1090" i="5"/>
  <c r="T1090" i="5"/>
  <c r="S1091" i="5"/>
  <c r="T1091" i="5"/>
  <c r="S1092" i="5"/>
  <c r="T1092" i="5"/>
  <c r="S1093" i="5"/>
  <c r="T1093" i="5"/>
  <c r="S1094" i="5"/>
  <c r="T1094" i="5"/>
  <c r="S1095" i="5"/>
  <c r="T1095" i="5"/>
  <c r="S1096" i="5"/>
  <c r="T1096" i="5"/>
  <c r="S1097" i="5"/>
  <c r="T1097" i="5"/>
  <c r="S1098" i="5"/>
  <c r="T1098" i="5"/>
  <c r="S1099" i="5"/>
  <c r="T1099" i="5"/>
  <c r="S1100" i="5"/>
  <c r="T1100" i="5"/>
  <c r="S1101" i="5"/>
  <c r="T1101" i="5"/>
  <c r="S1102" i="5"/>
  <c r="T1102" i="5"/>
  <c r="S1103" i="5"/>
  <c r="T1103" i="5"/>
  <c r="S1104" i="5"/>
  <c r="T1104" i="5"/>
  <c r="S1105" i="5"/>
  <c r="T1105" i="5"/>
  <c r="S1106" i="5"/>
  <c r="T1106" i="5"/>
  <c r="S1107" i="5"/>
  <c r="T1107" i="5"/>
  <c r="S1108" i="5"/>
  <c r="T1108" i="5"/>
  <c r="S1109" i="5"/>
  <c r="T1109" i="5"/>
  <c r="S1110" i="5"/>
  <c r="T1110" i="5"/>
  <c r="T1111" i="5"/>
  <c r="T1112" i="5"/>
  <c r="S1113" i="5"/>
  <c r="T1113" i="5"/>
  <c r="S1114" i="5"/>
  <c r="T1114" i="5"/>
  <c r="S1115" i="5"/>
  <c r="T1115" i="5"/>
  <c r="S1116" i="5"/>
  <c r="T1116" i="5"/>
  <c r="S1117" i="5"/>
  <c r="T1117" i="5"/>
  <c r="S1118" i="5"/>
  <c r="T1118" i="5"/>
  <c r="S1119" i="5"/>
  <c r="T1119" i="5"/>
  <c r="S1120" i="5"/>
  <c r="T1120" i="5"/>
  <c r="S1121" i="5"/>
  <c r="T1121" i="5"/>
  <c r="S1122" i="5"/>
  <c r="T1122" i="5"/>
  <c r="S1123" i="5"/>
  <c r="T1123" i="5"/>
  <c r="S1124" i="5"/>
  <c r="T1124" i="5"/>
  <c r="S1125" i="5"/>
  <c r="T1125" i="5"/>
  <c r="S1126" i="5"/>
  <c r="T1126" i="5"/>
  <c r="S1127" i="5"/>
  <c r="T1127" i="5"/>
  <c r="S1128" i="5"/>
  <c r="T1128" i="5"/>
  <c r="S1129" i="5"/>
  <c r="T1129" i="5"/>
  <c r="S1130" i="5"/>
  <c r="T1130" i="5"/>
  <c r="S1131" i="5"/>
  <c r="T1131" i="5"/>
  <c r="S1132" i="5"/>
  <c r="T1132" i="5"/>
  <c r="S1133" i="5"/>
  <c r="T1133" i="5"/>
  <c r="S1134" i="5"/>
  <c r="T1134" i="5"/>
  <c r="S1135" i="5"/>
  <c r="T1135" i="5"/>
  <c r="S1136" i="5"/>
  <c r="T1136" i="5"/>
  <c r="S1137" i="5"/>
  <c r="T1137" i="5"/>
  <c r="S1138" i="5"/>
  <c r="T1138" i="5"/>
  <c r="S1139" i="5"/>
  <c r="T1139" i="5"/>
  <c r="S1140" i="5"/>
  <c r="T1140" i="5"/>
  <c r="S1141" i="5"/>
  <c r="T1141" i="5"/>
  <c r="S1142" i="5"/>
  <c r="T1142" i="5"/>
  <c r="T1143" i="5"/>
  <c r="T1144" i="5"/>
  <c r="S1145" i="5"/>
  <c r="T1145" i="5"/>
  <c r="S1146" i="5"/>
  <c r="T1146" i="5"/>
  <c r="T1147" i="5"/>
  <c r="T1148" i="5"/>
  <c r="T1149" i="5"/>
  <c r="T1150" i="5"/>
  <c r="S1151" i="5"/>
  <c r="T1151" i="5"/>
  <c r="S1152" i="5"/>
  <c r="T1152" i="5"/>
  <c r="S1153" i="5"/>
  <c r="T1153" i="5"/>
  <c r="T1154" i="5"/>
  <c r="T1155" i="5"/>
  <c r="S1156" i="5"/>
  <c r="T1156" i="5"/>
  <c r="S1157" i="5"/>
  <c r="T1157" i="5"/>
  <c r="S1158" i="5"/>
  <c r="T1158" i="5"/>
  <c r="S1159" i="5"/>
  <c r="T1159" i="5"/>
  <c r="S1160" i="5"/>
  <c r="T1160" i="5"/>
  <c r="S1161" i="5"/>
  <c r="T1161" i="5"/>
  <c r="S1162" i="5"/>
  <c r="T1162" i="5"/>
  <c r="S1163" i="5"/>
  <c r="T1163" i="5"/>
  <c r="S1164" i="5"/>
  <c r="T1164" i="5"/>
  <c r="S1165" i="5"/>
  <c r="T1165" i="5"/>
  <c r="S1166" i="5"/>
  <c r="T1166" i="5"/>
  <c r="S1167" i="5"/>
  <c r="T1167" i="5"/>
  <c r="S1168" i="5"/>
  <c r="T1168" i="5"/>
  <c r="T1169" i="5"/>
  <c r="S1170" i="5"/>
  <c r="T1170" i="5"/>
  <c r="S1171" i="5"/>
  <c r="T1171" i="5"/>
  <c r="S1172" i="5"/>
  <c r="T1172" i="5"/>
  <c r="S1173" i="5"/>
  <c r="T1173" i="5"/>
  <c r="S1174" i="5"/>
  <c r="T1174" i="5"/>
  <c r="S1175" i="5"/>
  <c r="T1175" i="5"/>
  <c r="S1176" i="5"/>
  <c r="T1176" i="5"/>
  <c r="S1177" i="5"/>
  <c r="T1177" i="5"/>
  <c r="S1178" i="5"/>
  <c r="T1178" i="5"/>
  <c r="S1179" i="5"/>
  <c r="T1179" i="5"/>
  <c r="S1180" i="5"/>
  <c r="T1180" i="5"/>
  <c r="S1181" i="5"/>
  <c r="T1181" i="5"/>
  <c r="S1182" i="5"/>
  <c r="T1182" i="5"/>
  <c r="S1183" i="5"/>
  <c r="T1183" i="5"/>
  <c r="S1184" i="5"/>
  <c r="T1184" i="5"/>
  <c r="S1185" i="5"/>
  <c r="T1185" i="5"/>
  <c r="S1186" i="5"/>
  <c r="T1186" i="5"/>
  <c r="S1187" i="5"/>
  <c r="T1187" i="5"/>
  <c r="S1188" i="5"/>
  <c r="T1188" i="5"/>
  <c r="T1189" i="5"/>
  <c r="T1190" i="5"/>
  <c r="S1191" i="5"/>
  <c r="T1191" i="5"/>
  <c r="S1192" i="5"/>
  <c r="T1192" i="5"/>
  <c r="S1193" i="5"/>
  <c r="T1193" i="5"/>
  <c r="S1194" i="5"/>
  <c r="T1194" i="5"/>
  <c r="S1195" i="5"/>
  <c r="T1195" i="5"/>
  <c r="S1196" i="5"/>
  <c r="T1196" i="5"/>
  <c r="S1197" i="5"/>
  <c r="T1197" i="5"/>
  <c r="S1198" i="5"/>
  <c r="T1198" i="5"/>
  <c r="S1199" i="5"/>
  <c r="T1199" i="5"/>
  <c r="S1200" i="5"/>
  <c r="T1200" i="5"/>
  <c r="S1201" i="5"/>
  <c r="T1201" i="5"/>
  <c r="S1202" i="5"/>
  <c r="T1202" i="5"/>
  <c r="S1203" i="5"/>
  <c r="T1203" i="5"/>
  <c r="S1204" i="5"/>
  <c r="T1204" i="5"/>
  <c r="S1205" i="5"/>
  <c r="T1205" i="5"/>
  <c r="S1206" i="5"/>
  <c r="T1206" i="5"/>
  <c r="S1207" i="5"/>
  <c r="T1207" i="5"/>
  <c r="S1208" i="5"/>
  <c r="T1208" i="5"/>
  <c r="S1209" i="5"/>
  <c r="T1209" i="5"/>
  <c r="S1210" i="5"/>
  <c r="T1210" i="5"/>
  <c r="S1211" i="5"/>
  <c r="T1211" i="5"/>
  <c r="S1212" i="5"/>
  <c r="T1212" i="5"/>
  <c r="S1213" i="5"/>
  <c r="T1213" i="5"/>
  <c r="S1214" i="5"/>
  <c r="T1214" i="5"/>
  <c r="S1215" i="5"/>
  <c r="T1215" i="5"/>
  <c r="S1216" i="5"/>
  <c r="T1216" i="5"/>
  <c r="S1217" i="5"/>
  <c r="T1217" i="5"/>
  <c r="S1218" i="5"/>
  <c r="T1218" i="5"/>
  <c r="S1219" i="5"/>
  <c r="T1219" i="5"/>
  <c r="S1220" i="5"/>
  <c r="T1220" i="5"/>
  <c r="S1221" i="5"/>
  <c r="T1221" i="5"/>
  <c r="S1222" i="5"/>
  <c r="T1222" i="5"/>
  <c r="S1223" i="5"/>
  <c r="T1223" i="5"/>
  <c r="S1224" i="5"/>
  <c r="T1224" i="5"/>
  <c r="S1225" i="5"/>
  <c r="T1225" i="5"/>
  <c r="S1226" i="5"/>
  <c r="T1226" i="5"/>
  <c r="S1227" i="5"/>
  <c r="T1227" i="5"/>
  <c r="S1228" i="5"/>
  <c r="T1228" i="5"/>
  <c r="S1229" i="5"/>
  <c r="T1229" i="5"/>
  <c r="S1230" i="5"/>
  <c r="T1230" i="5"/>
  <c r="S1231" i="5"/>
  <c r="T1231" i="5"/>
  <c r="S1232" i="5"/>
  <c r="T1232" i="5"/>
  <c r="S1233" i="5"/>
  <c r="T1233" i="5"/>
  <c r="S1234" i="5"/>
  <c r="T1234" i="5"/>
  <c r="S1235" i="5"/>
  <c r="T1235" i="5"/>
  <c r="S1236" i="5"/>
  <c r="T1236" i="5"/>
  <c r="T1237" i="5"/>
  <c r="S1238" i="5"/>
  <c r="T1238" i="5"/>
  <c r="S1239" i="5"/>
  <c r="T1239" i="5"/>
  <c r="S1240" i="5"/>
  <c r="T1240" i="5"/>
  <c r="S1241" i="5"/>
  <c r="T1241" i="5"/>
  <c r="S1242" i="5"/>
  <c r="T1242" i="5"/>
  <c r="S1243" i="5"/>
  <c r="T1243" i="5"/>
  <c r="S1244" i="5"/>
  <c r="T1244" i="5"/>
  <c r="S1245" i="5"/>
  <c r="T1245" i="5"/>
  <c r="S1246" i="5"/>
  <c r="T1246" i="5"/>
  <c r="S1247" i="5"/>
  <c r="T1247" i="5"/>
  <c r="S1248" i="5"/>
  <c r="T1248" i="5"/>
  <c r="S1249" i="5"/>
  <c r="T1249" i="5"/>
  <c r="S1250" i="5"/>
  <c r="T1250" i="5"/>
  <c r="S1251" i="5"/>
  <c r="T1251" i="5"/>
  <c r="S1252" i="5"/>
  <c r="T1252" i="5"/>
  <c r="S1253" i="5"/>
  <c r="T1253" i="5"/>
  <c r="S1254" i="5"/>
  <c r="T1254" i="5"/>
  <c r="S1255" i="5"/>
  <c r="T1255" i="5"/>
  <c r="S1256" i="5"/>
  <c r="T1256" i="5"/>
  <c r="T1257" i="5"/>
  <c r="S1258" i="5"/>
  <c r="T1258" i="5"/>
  <c r="S1259" i="5"/>
  <c r="T1259" i="5"/>
  <c r="S1260" i="5"/>
  <c r="T1260" i="5"/>
  <c r="S1261" i="5"/>
  <c r="T1261" i="5"/>
  <c r="S1262" i="5"/>
  <c r="T1262" i="5"/>
  <c r="S1263" i="5"/>
  <c r="T1263" i="5"/>
  <c r="T1264" i="5"/>
  <c r="T1265" i="5"/>
  <c r="S1266" i="5"/>
  <c r="T1266" i="5"/>
  <c r="S1267" i="5"/>
  <c r="T1267" i="5"/>
  <c r="S1268" i="5"/>
  <c r="T1268" i="5"/>
  <c r="S1269" i="5"/>
  <c r="T1269" i="5"/>
  <c r="T1270" i="5"/>
  <c r="S1271" i="5"/>
  <c r="T1271" i="5"/>
  <c r="S1272" i="5"/>
  <c r="T1272" i="5"/>
  <c r="T1273" i="5"/>
  <c r="T1274" i="5"/>
  <c r="S1275" i="5"/>
  <c r="T1275" i="5"/>
  <c r="S1276" i="5"/>
  <c r="T1276" i="5"/>
  <c r="S1277" i="5"/>
  <c r="T1277" i="5"/>
  <c r="T1278" i="5"/>
  <c r="T1279" i="5"/>
  <c r="S1280" i="5"/>
  <c r="T1280" i="5"/>
  <c r="S1281" i="5"/>
  <c r="T1281" i="5"/>
  <c r="T1282" i="5"/>
  <c r="S1283" i="5"/>
  <c r="T1283" i="5"/>
  <c r="S1284" i="5"/>
  <c r="T1284" i="5"/>
  <c r="S1285" i="5"/>
  <c r="T1285" i="5"/>
  <c r="T1286" i="5"/>
  <c r="S1287" i="5"/>
  <c r="T1287" i="5"/>
  <c r="S1288" i="5"/>
  <c r="T1288" i="5"/>
  <c r="T1289" i="5"/>
  <c r="T1290" i="5"/>
  <c r="S1291" i="5"/>
  <c r="T1291" i="5"/>
  <c r="S1292" i="5"/>
  <c r="T1292" i="5"/>
  <c r="T1293" i="5"/>
  <c r="S1294" i="5"/>
  <c r="T1294" i="5"/>
  <c r="S1295" i="5"/>
  <c r="T1295" i="5"/>
  <c r="S1296" i="5"/>
  <c r="T1296" i="5"/>
  <c r="T1297" i="5"/>
  <c r="T1298" i="5"/>
  <c r="T1299" i="5"/>
  <c r="S1300" i="5"/>
  <c r="T1300" i="5"/>
  <c r="S1301" i="5"/>
  <c r="T1301" i="5"/>
  <c r="T1302" i="5"/>
  <c r="S1303" i="5"/>
  <c r="T1303" i="5"/>
  <c r="S1304" i="5"/>
  <c r="T1304" i="5"/>
  <c r="T1305" i="5"/>
  <c r="T1306" i="5"/>
  <c r="S1307" i="5"/>
  <c r="T1307" i="5"/>
  <c r="S1308" i="5"/>
  <c r="T1308" i="5"/>
  <c r="S1309" i="5"/>
  <c r="T1309" i="5"/>
  <c r="S1310" i="5"/>
  <c r="T1310" i="5"/>
  <c r="S1311" i="5"/>
  <c r="T1311" i="5"/>
  <c r="T1312" i="5"/>
  <c r="T1313" i="5"/>
  <c r="T1314" i="5"/>
  <c r="T1315" i="5"/>
  <c r="T1316" i="5"/>
  <c r="T1317" i="5"/>
  <c r="S1318" i="5"/>
  <c r="T1318" i="5"/>
  <c r="S1319" i="5"/>
  <c r="T1319" i="5"/>
  <c r="S1320" i="5"/>
  <c r="T1320" i="5"/>
  <c r="S1321" i="5"/>
  <c r="T1321" i="5"/>
  <c r="S1322" i="5"/>
  <c r="T1322" i="5"/>
  <c r="S1323" i="5"/>
  <c r="T1323" i="5"/>
  <c r="S1324" i="5"/>
  <c r="T1324" i="5"/>
  <c r="S1325" i="5"/>
  <c r="T1325" i="5"/>
  <c r="S1326" i="5"/>
  <c r="T1326" i="5"/>
  <c r="S1327" i="5"/>
  <c r="T1327" i="5"/>
  <c r="S1328" i="5"/>
  <c r="T1328" i="5"/>
  <c r="S1329" i="5"/>
  <c r="T1329" i="5"/>
  <c r="S1330" i="5"/>
  <c r="T1330" i="5"/>
  <c r="S1331" i="5"/>
  <c r="T1331" i="5"/>
  <c r="S1332" i="5"/>
  <c r="T1332" i="5"/>
  <c r="S1333" i="5"/>
  <c r="T1333" i="5"/>
  <c r="S1334" i="5"/>
  <c r="T1334" i="5"/>
  <c r="S1335" i="5"/>
  <c r="T1335" i="5"/>
  <c r="S1336" i="5"/>
  <c r="T1336" i="5"/>
  <c r="S1337" i="5"/>
  <c r="T1337" i="5"/>
  <c r="S1338" i="5"/>
  <c r="T1338" i="5"/>
  <c r="S1339" i="5"/>
  <c r="T1339" i="5"/>
  <c r="S1340" i="5"/>
  <c r="T1340" i="5"/>
  <c r="S1341" i="5"/>
  <c r="T1341" i="5"/>
  <c r="S1342" i="5"/>
  <c r="T1342" i="5"/>
  <c r="S1343" i="5"/>
  <c r="T1343" i="5"/>
  <c r="S1344" i="5"/>
  <c r="T1344" i="5"/>
  <c r="S1345" i="5"/>
  <c r="T1345" i="5"/>
  <c r="S1346" i="5"/>
  <c r="T1346" i="5"/>
  <c r="S1347" i="5"/>
  <c r="T1347" i="5"/>
  <c r="S1348" i="5"/>
  <c r="T1348" i="5"/>
  <c r="S1349" i="5"/>
  <c r="T1349" i="5"/>
  <c r="S1350" i="5"/>
  <c r="T1350" i="5"/>
  <c r="S1351" i="5"/>
  <c r="T1351" i="5"/>
  <c r="S1352" i="5"/>
  <c r="T1352" i="5"/>
  <c r="S1353" i="5"/>
  <c r="T1353" i="5"/>
  <c r="S1354" i="5"/>
  <c r="T1354" i="5"/>
  <c r="S1355" i="5"/>
  <c r="T1355" i="5"/>
  <c r="S1356" i="5"/>
  <c r="T1356" i="5"/>
  <c r="S1357" i="5"/>
  <c r="T1357" i="5"/>
  <c r="S1358" i="5"/>
  <c r="T1358" i="5"/>
  <c r="S1359" i="5"/>
  <c r="T1359" i="5"/>
  <c r="S1360" i="5"/>
  <c r="T1360" i="5"/>
  <c r="S1361" i="5"/>
  <c r="T1361" i="5"/>
  <c r="S1362" i="5"/>
  <c r="T1362" i="5"/>
  <c r="T1363" i="5"/>
  <c r="S1364" i="5"/>
  <c r="T1364" i="5"/>
  <c r="S1365" i="5"/>
  <c r="T1365" i="5"/>
  <c r="S1366" i="5"/>
  <c r="T1366" i="5"/>
  <c r="T1367" i="5"/>
  <c r="S1368" i="5"/>
  <c r="T1368" i="5"/>
  <c r="T1369" i="5"/>
  <c r="S1370" i="5"/>
  <c r="T1370" i="5"/>
  <c r="S1371" i="5"/>
  <c r="T1371" i="5"/>
  <c r="S1372" i="5"/>
  <c r="T1372" i="5"/>
  <c r="S1373" i="5"/>
  <c r="T1373" i="5"/>
  <c r="S1374" i="5"/>
  <c r="T1374" i="5"/>
  <c r="S1375" i="5"/>
  <c r="T1375" i="5"/>
  <c r="S1376" i="5"/>
  <c r="T1376" i="5"/>
  <c r="S1377" i="5"/>
  <c r="T1377" i="5"/>
  <c r="S1378" i="5"/>
  <c r="T1378" i="5"/>
  <c r="S1379" i="5"/>
  <c r="T1379" i="5"/>
  <c r="S1380" i="5"/>
  <c r="T1380" i="5"/>
  <c r="S1381" i="5"/>
  <c r="T1381" i="5"/>
  <c r="S1382" i="5"/>
  <c r="T1382" i="5"/>
  <c r="S1383" i="5"/>
  <c r="T1383" i="5"/>
  <c r="S1384" i="5"/>
  <c r="T1384" i="5"/>
  <c r="S1385" i="5"/>
  <c r="T1385" i="5"/>
  <c r="S1386" i="5"/>
  <c r="T1386" i="5"/>
  <c r="S1387" i="5"/>
  <c r="T1387" i="5"/>
  <c r="S1388" i="5"/>
  <c r="T1388" i="5"/>
  <c r="S1389" i="5"/>
  <c r="T1389" i="5"/>
  <c r="S1390" i="5"/>
  <c r="T1390" i="5"/>
  <c r="S1391" i="5"/>
  <c r="T1391" i="5"/>
  <c r="S1392" i="5"/>
  <c r="T1392" i="5"/>
  <c r="S1393" i="5"/>
  <c r="T1393" i="5"/>
  <c r="S1394" i="5"/>
  <c r="T1394" i="5"/>
  <c r="S1395" i="5"/>
  <c r="T1395" i="5"/>
  <c r="S1396" i="5"/>
  <c r="T1396" i="5"/>
  <c r="S1397" i="5"/>
  <c r="T1397" i="5"/>
  <c r="S1398" i="5"/>
  <c r="T1398" i="5"/>
  <c r="T1399" i="5"/>
  <c r="S1400" i="5"/>
  <c r="T1400" i="5"/>
  <c r="S1401" i="5"/>
  <c r="T1401" i="5"/>
  <c r="S1402" i="5"/>
  <c r="T1402" i="5"/>
  <c r="S1403" i="5"/>
  <c r="T1403" i="5"/>
  <c r="S1404" i="5"/>
  <c r="T1404" i="5"/>
  <c r="S1405" i="5"/>
  <c r="T1405" i="5"/>
  <c r="S1406" i="5"/>
  <c r="T1406" i="5"/>
  <c r="S1407" i="5"/>
  <c r="T1407" i="5"/>
  <c r="S1408" i="5"/>
  <c r="T1408" i="5"/>
  <c r="S1409" i="5"/>
  <c r="T1409" i="5"/>
  <c r="S1410" i="5"/>
  <c r="T1410" i="5"/>
  <c r="S1411" i="5"/>
  <c r="T1411" i="5"/>
  <c r="S1412" i="5"/>
  <c r="T1412" i="5"/>
  <c r="S1413" i="5"/>
  <c r="T1413" i="5"/>
  <c r="S1414" i="5"/>
  <c r="T1414" i="5"/>
  <c r="S1415" i="5"/>
  <c r="T1415" i="5"/>
  <c r="S1416" i="5"/>
  <c r="T1416" i="5"/>
  <c r="S1417" i="5"/>
  <c r="T1417" i="5"/>
  <c r="S1418" i="5"/>
  <c r="T1418" i="5"/>
  <c r="S1419" i="5"/>
  <c r="T1419" i="5"/>
  <c r="S1420" i="5"/>
  <c r="T1420" i="5"/>
  <c r="S1421" i="5"/>
  <c r="T1421" i="5"/>
  <c r="S1422" i="5"/>
  <c r="T1422" i="5"/>
  <c r="S1423" i="5"/>
  <c r="T1423" i="5"/>
  <c r="S1424" i="5"/>
  <c r="T1424" i="5"/>
  <c r="S1425" i="5"/>
  <c r="T1425" i="5"/>
  <c r="S1426" i="5"/>
  <c r="T1426" i="5"/>
  <c r="S1427" i="5"/>
  <c r="T1427" i="5"/>
  <c r="S1428" i="5"/>
  <c r="T1428" i="5"/>
  <c r="S1429" i="5"/>
  <c r="T1429" i="5"/>
  <c r="S1430" i="5"/>
  <c r="T1430" i="5"/>
  <c r="S1431" i="5"/>
  <c r="T1431" i="5"/>
  <c r="S1432" i="5"/>
  <c r="T1432" i="5"/>
  <c r="S1433" i="5"/>
  <c r="T1433" i="5"/>
  <c r="S1434" i="5"/>
  <c r="T1434" i="5"/>
  <c r="S1435" i="5"/>
  <c r="T1435" i="5"/>
  <c r="S1436" i="5"/>
  <c r="T1436" i="5"/>
  <c r="S1437" i="5"/>
  <c r="T1437" i="5"/>
  <c r="S1438" i="5"/>
  <c r="T1438" i="5"/>
  <c r="S1439" i="5"/>
  <c r="T1439" i="5"/>
  <c r="S1440" i="5"/>
  <c r="T1440" i="5"/>
  <c r="S1441" i="5"/>
  <c r="T1441" i="5"/>
  <c r="S1442" i="5"/>
  <c r="T1442" i="5"/>
  <c r="S1443" i="5"/>
  <c r="T1443" i="5"/>
  <c r="S1444" i="5"/>
  <c r="T1444" i="5"/>
  <c r="S1445" i="5"/>
  <c r="T1445" i="5"/>
  <c r="S1446" i="5"/>
  <c r="T1446" i="5"/>
  <c r="S1447" i="5"/>
  <c r="T1447" i="5"/>
  <c r="S1448" i="5"/>
  <c r="T1448" i="5"/>
  <c r="S1449" i="5"/>
  <c r="T1449" i="5"/>
  <c r="S1450" i="5"/>
  <c r="T1450" i="5"/>
  <c r="S1451" i="5"/>
  <c r="T1451" i="5"/>
  <c r="S1452" i="5"/>
  <c r="T1452" i="5"/>
  <c r="S1453" i="5"/>
  <c r="T1453" i="5"/>
  <c r="S1454" i="5"/>
  <c r="T1454" i="5"/>
  <c r="S1455" i="5"/>
  <c r="T1455" i="5"/>
  <c r="S1456" i="5"/>
  <c r="T1456" i="5"/>
  <c r="S1457" i="5"/>
  <c r="T1457" i="5"/>
  <c r="S1458" i="5"/>
  <c r="T1458" i="5"/>
  <c r="S1459" i="5"/>
  <c r="T1459" i="5"/>
  <c r="S1460" i="5"/>
  <c r="T1460" i="5"/>
  <c r="S1461" i="5"/>
  <c r="T1461" i="5"/>
  <c r="S1462" i="5"/>
  <c r="T1462" i="5"/>
  <c r="S1463" i="5"/>
  <c r="T1463" i="5"/>
  <c r="S1464" i="5"/>
  <c r="T1464" i="5"/>
  <c r="S1465" i="5"/>
  <c r="T1465" i="5"/>
  <c r="S1466" i="5"/>
  <c r="T1466" i="5"/>
  <c r="S1467" i="5"/>
  <c r="T1467" i="5"/>
  <c r="S1468" i="5"/>
  <c r="T1468" i="5"/>
  <c r="S1469" i="5"/>
  <c r="T1469" i="5"/>
  <c r="S1470" i="5"/>
  <c r="T1470" i="5"/>
  <c r="S1471" i="5"/>
  <c r="T1471" i="5"/>
  <c r="S1472" i="5"/>
  <c r="T1472" i="5"/>
  <c r="S1473" i="5"/>
  <c r="T1473" i="5"/>
  <c r="S1474" i="5"/>
  <c r="T1474" i="5"/>
  <c r="S1475" i="5"/>
  <c r="T1475" i="5"/>
  <c r="S1476" i="5"/>
  <c r="T1476" i="5"/>
  <c r="S1477" i="5"/>
  <c r="T1477" i="5"/>
  <c r="S1478" i="5"/>
  <c r="T1478" i="5"/>
  <c r="S1479" i="5"/>
  <c r="T1479" i="5"/>
  <c r="S1480" i="5"/>
  <c r="T1480" i="5"/>
  <c r="S1481" i="5"/>
  <c r="T1481" i="5"/>
  <c r="S1482" i="5"/>
  <c r="T1482" i="5"/>
  <c r="S1483" i="5"/>
  <c r="T1483" i="5"/>
  <c r="S1484" i="5"/>
  <c r="T1484" i="5"/>
  <c r="S1485" i="5"/>
  <c r="T1485" i="5"/>
  <c r="S1486" i="5"/>
  <c r="T1486" i="5"/>
  <c r="S1487" i="5"/>
  <c r="T1487" i="5"/>
  <c r="S1488" i="5"/>
  <c r="T1488" i="5"/>
  <c r="S1489" i="5"/>
  <c r="T1489" i="5"/>
  <c r="S1490" i="5"/>
  <c r="T1490" i="5"/>
  <c r="S1491" i="5"/>
  <c r="T1491" i="5"/>
  <c r="S1492" i="5"/>
  <c r="T1492" i="5"/>
  <c r="S1493" i="5"/>
  <c r="T1493" i="5"/>
  <c r="S1494" i="5"/>
  <c r="T1494" i="5"/>
  <c r="S1495" i="5"/>
  <c r="T1495" i="5"/>
  <c r="S1496" i="5"/>
  <c r="T1496" i="5"/>
  <c r="S1497" i="5"/>
  <c r="T1497" i="5"/>
  <c r="S1498" i="5"/>
  <c r="T1498" i="5"/>
  <c r="S1499" i="5"/>
  <c r="T1499" i="5"/>
  <c r="T1500" i="5"/>
  <c r="S1501" i="5"/>
  <c r="T1501" i="5"/>
  <c r="S1502" i="5"/>
  <c r="T1502" i="5"/>
  <c r="S1503" i="5"/>
  <c r="T1503" i="5"/>
  <c r="S1504" i="5"/>
  <c r="T1504" i="5"/>
  <c r="T1505" i="5"/>
  <c r="S1506" i="5"/>
  <c r="T1506" i="5"/>
  <c r="S1507" i="5"/>
  <c r="T1507" i="5"/>
  <c r="S1508" i="5"/>
  <c r="T1508" i="5"/>
  <c r="S1509" i="5"/>
  <c r="T1509" i="5"/>
  <c r="S1510" i="5"/>
  <c r="T1510" i="5"/>
  <c r="S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T5"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61" i="8"/>
  <c r="J562" i="8"/>
  <c r="J563" i="8"/>
  <c r="J564" i="8"/>
  <c r="J565" i="8"/>
  <c r="J566" i="8"/>
  <c r="J567" i="8"/>
  <c r="J568" i="8"/>
  <c r="J569" i="8"/>
  <c r="J570" i="8"/>
  <c r="J571" i="8"/>
  <c r="J572" i="8"/>
  <c r="J573" i="8"/>
  <c r="J574" i="8"/>
  <c r="J575" i="8"/>
  <c r="J576"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V5" i="5"/>
  <c r="S5" i="5"/>
  <c r="K646" i="8"/>
  <c r="K647" i="8"/>
  <c r="K648" i="8"/>
  <c r="K649" i="8"/>
  <c r="K650" i="8"/>
  <c r="K651" i="8"/>
  <c r="K652" i="8"/>
  <c r="K653" i="8"/>
  <c r="K654" i="8"/>
  <c r="K655" i="8"/>
  <c r="K656" i="8"/>
  <c r="K657" i="8"/>
  <c r="K658" i="8"/>
  <c r="K659" i="8"/>
  <c r="K660" i="8"/>
  <c r="K661" i="8"/>
  <c r="K662" i="8"/>
  <c r="K663" i="8"/>
  <c r="K664" i="8"/>
  <c r="V6" i="5"/>
  <c r="V7" i="5"/>
  <c r="V8" i="5"/>
  <c r="E102" i="4"/>
  <c r="K640" i="8"/>
  <c r="K641" i="8"/>
  <c r="K642" i="8"/>
  <c r="K643" i="8"/>
  <c r="K644"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8" i="9"/>
  <c r="A249" i="9"/>
  <c r="A250" i="9"/>
  <c r="A313" i="9"/>
  <c r="A314" i="9"/>
  <c r="A315" i="9"/>
  <c r="A316" i="9"/>
  <c r="A317" i="9"/>
  <c r="E4" i="8"/>
  <c r="C4"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V235" i="5"/>
  <c r="V236" i="5"/>
  <c r="V237" i="5"/>
  <c r="V238" i="5"/>
  <c r="V239" i="5"/>
  <c r="V240" i="5"/>
  <c r="V241" i="5"/>
  <c r="V242" i="5"/>
  <c r="V243" i="5"/>
  <c r="V244" i="5"/>
  <c r="V245" i="5"/>
  <c r="V246" i="5"/>
  <c r="V247" i="5"/>
  <c r="V248" i="5"/>
  <c r="V249" i="5"/>
  <c r="V250" i="5"/>
  <c r="V251" i="5"/>
  <c r="V252" i="5"/>
  <c r="V253" i="5"/>
  <c r="V254" i="5"/>
  <c r="V255" i="5"/>
  <c r="V256" i="5"/>
  <c r="V257" i="5"/>
  <c r="V258" i="5"/>
  <c r="V259" i="5"/>
  <c r="V260" i="5"/>
  <c r="V261" i="5"/>
  <c r="V262" i="5"/>
  <c r="V263" i="5"/>
  <c r="V264" i="5"/>
  <c r="V265" i="5"/>
  <c r="V266" i="5"/>
  <c r="V267" i="5"/>
  <c r="V268" i="5"/>
  <c r="V269" i="5"/>
  <c r="V270" i="5"/>
  <c r="V271" i="5"/>
  <c r="V272" i="5"/>
  <c r="V273" i="5"/>
  <c r="V274" i="5"/>
  <c r="V275" i="5"/>
  <c r="V276" i="5"/>
  <c r="V277" i="5"/>
  <c r="V278" i="5"/>
  <c r="V279" i="5"/>
  <c r="V280" i="5"/>
  <c r="V281" i="5"/>
  <c r="V282" i="5"/>
  <c r="V283" i="5"/>
  <c r="V284" i="5"/>
  <c r="V285" i="5"/>
  <c r="V286" i="5"/>
  <c r="V287" i="5"/>
  <c r="V288" i="5"/>
  <c r="V289" i="5"/>
  <c r="V290" i="5"/>
  <c r="V291" i="5"/>
  <c r="V292" i="5"/>
  <c r="V293" i="5"/>
  <c r="V294" i="5"/>
  <c r="V295" i="5"/>
  <c r="V296" i="5"/>
  <c r="V297" i="5"/>
  <c r="V298" i="5"/>
  <c r="V299" i="5"/>
  <c r="V300" i="5"/>
  <c r="V301" i="5"/>
  <c r="V302" i="5"/>
  <c r="V303" i="5"/>
  <c r="V304" i="5"/>
  <c r="V305" i="5"/>
  <c r="V306" i="5"/>
  <c r="V307" i="5"/>
  <c r="V308" i="5"/>
  <c r="V309" i="5"/>
  <c r="V310" i="5"/>
  <c r="V311" i="5"/>
  <c r="V312" i="5"/>
  <c r="V313" i="5"/>
  <c r="V314" i="5"/>
  <c r="V315" i="5"/>
  <c r="V316" i="5"/>
  <c r="V317" i="5"/>
  <c r="V318" i="5"/>
  <c r="V319" i="5"/>
  <c r="V320" i="5"/>
  <c r="V321" i="5"/>
  <c r="V322" i="5"/>
  <c r="V323" i="5"/>
  <c r="V324" i="5"/>
  <c r="V325" i="5"/>
  <c r="V326" i="5"/>
  <c r="V327" i="5"/>
  <c r="V328" i="5"/>
  <c r="V329" i="5"/>
  <c r="V330" i="5"/>
  <c r="V331" i="5"/>
  <c r="V332" i="5"/>
  <c r="V333" i="5"/>
  <c r="V334" i="5"/>
  <c r="V335" i="5"/>
  <c r="V336" i="5"/>
  <c r="V337" i="5"/>
  <c r="V338" i="5"/>
  <c r="V339" i="5"/>
  <c r="V340" i="5"/>
  <c r="V341" i="5"/>
  <c r="V342" i="5"/>
  <c r="V343" i="5"/>
  <c r="V344" i="5"/>
  <c r="V345" i="5"/>
  <c r="V346" i="5"/>
  <c r="V347" i="5"/>
  <c r="V348" i="5"/>
  <c r="V349" i="5"/>
  <c r="V350" i="5"/>
  <c r="V351" i="5"/>
  <c r="V352" i="5"/>
  <c r="V353" i="5"/>
  <c r="V354" i="5"/>
  <c r="V355" i="5"/>
  <c r="V356" i="5"/>
  <c r="V357" i="5"/>
  <c r="V358" i="5"/>
  <c r="V359" i="5"/>
  <c r="V360" i="5"/>
  <c r="V361" i="5"/>
  <c r="V362" i="5"/>
  <c r="V363" i="5"/>
  <c r="V364" i="5"/>
  <c r="V365" i="5"/>
  <c r="V366" i="5"/>
  <c r="V367" i="5"/>
  <c r="V368" i="5"/>
  <c r="V369" i="5"/>
  <c r="V370" i="5"/>
  <c r="V371" i="5"/>
  <c r="V372" i="5"/>
  <c r="V373" i="5"/>
  <c r="V374" i="5"/>
  <c r="V375" i="5"/>
  <c r="V376" i="5"/>
  <c r="V377" i="5"/>
  <c r="V378" i="5"/>
  <c r="V379" i="5"/>
  <c r="V380" i="5"/>
  <c r="V381" i="5"/>
  <c r="V382" i="5"/>
  <c r="V383" i="5"/>
  <c r="V384" i="5"/>
  <c r="V385" i="5"/>
  <c r="V386" i="5"/>
  <c r="V387" i="5"/>
  <c r="V388" i="5"/>
  <c r="V389" i="5"/>
  <c r="V390" i="5"/>
  <c r="V391" i="5"/>
  <c r="V392" i="5"/>
  <c r="V393" i="5"/>
  <c r="V394" i="5"/>
  <c r="V395" i="5"/>
  <c r="V396" i="5"/>
  <c r="V397" i="5"/>
  <c r="V398" i="5"/>
  <c r="V399" i="5"/>
  <c r="V400" i="5"/>
  <c r="V401" i="5"/>
  <c r="V402" i="5"/>
  <c r="V403" i="5"/>
  <c r="V404" i="5"/>
  <c r="V405" i="5"/>
  <c r="V406" i="5"/>
  <c r="V407" i="5"/>
  <c r="V408" i="5"/>
  <c r="V409" i="5"/>
  <c r="V410" i="5"/>
  <c r="V411" i="5"/>
  <c r="V412" i="5"/>
  <c r="V413" i="5"/>
  <c r="V414" i="5"/>
  <c r="V415" i="5"/>
  <c r="V416" i="5"/>
  <c r="V417" i="5"/>
  <c r="V418" i="5"/>
  <c r="V419" i="5"/>
  <c r="V420" i="5"/>
  <c r="V421" i="5"/>
  <c r="V422" i="5"/>
  <c r="V423" i="5"/>
  <c r="V424" i="5"/>
  <c r="V425" i="5"/>
  <c r="V426" i="5"/>
  <c r="V427" i="5"/>
  <c r="V428" i="5"/>
  <c r="V429" i="5"/>
  <c r="V430" i="5"/>
  <c r="V431" i="5"/>
  <c r="V432" i="5"/>
  <c r="V433" i="5"/>
  <c r="V434" i="5"/>
  <c r="V435" i="5"/>
  <c r="V436" i="5"/>
  <c r="V437" i="5"/>
  <c r="V438" i="5"/>
  <c r="V439" i="5"/>
  <c r="V440" i="5"/>
  <c r="V441" i="5"/>
  <c r="V442" i="5"/>
  <c r="V443" i="5"/>
  <c r="V444" i="5"/>
  <c r="V445" i="5"/>
  <c r="V446" i="5"/>
  <c r="V447" i="5"/>
  <c r="V448" i="5"/>
  <c r="V449" i="5"/>
  <c r="V450" i="5"/>
  <c r="V451" i="5"/>
  <c r="V452" i="5"/>
  <c r="V453" i="5"/>
  <c r="V454" i="5"/>
  <c r="V455" i="5"/>
  <c r="V456" i="5"/>
  <c r="V457" i="5"/>
  <c r="V458" i="5"/>
  <c r="V459" i="5"/>
  <c r="V460" i="5"/>
  <c r="V461" i="5"/>
  <c r="V462" i="5"/>
  <c r="V463" i="5"/>
  <c r="V464" i="5"/>
  <c r="V465" i="5"/>
  <c r="V466" i="5"/>
  <c r="V467" i="5"/>
  <c r="V468" i="5"/>
  <c r="V469" i="5"/>
  <c r="V470" i="5"/>
  <c r="V471" i="5"/>
  <c r="V472" i="5"/>
  <c r="V473" i="5"/>
  <c r="V474" i="5"/>
  <c r="V475" i="5"/>
  <c r="V476" i="5"/>
  <c r="V477" i="5"/>
  <c r="V478" i="5"/>
  <c r="V479" i="5"/>
  <c r="V480" i="5"/>
  <c r="V481" i="5"/>
  <c r="V482" i="5"/>
  <c r="V483" i="5"/>
  <c r="V484" i="5"/>
  <c r="V485" i="5"/>
  <c r="V486" i="5"/>
  <c r="V487" i="5"/>
  <c r="V488" i="5"/>
  <c r="V489" i="5"/>
  <c r="V490" i="5"/>
  <c r="V491" i="5"/>
  <c r="V492" i="5"/>
  <c r="V493" i="5"/>
  <c r="V494" i="5"/>
  <c r="V495" i="5"/>
  <c r="V496" i="5"/>
  <c r="V497" i="5"/>
  <c r="V498" i="5"/>
  <c r="V499" i="5"/>
  <c r="V500" i="5"/>
  <c r="V501" i="5"/>
  <c r="V502" i="5"/>
  <c r="V503" i="5"/>
  <c r="V504" i="5"/>
  <c r="V505" i="5"/>
  <c r="V506" i="5"/>
  <c r="V507" i="5"/>
  <c r="V508" i="5"/>
  <c r="V509" i="5"/>
  <c r="V510" i="5"/>
  <c r="V511" i="5"/>
  <c r="V512" i="5"/>
  <c r="V513" i="5"/>
  <c r="V514" i="5"/>
  <c r="V515" i="5"/>
  <c r="V516" i="5"/>
  <c r="V517" i="5"/>
  <c r="V518" i="5"/>
  <c r="V519" i="5"/>
  <c r="V520" i="5"/>
  <c r="V521" i="5"/>
  <c r="V522" i="5"/>
  <c r="V523" i="5"/>
  <c r="V524" i="5"/>
  <c r="V525" i="5"/>
  <c r="V526" i="5"/>
  <c r="V527" i="5"/>
  <c r="V528" i="5"/>
  <c r="V529" i="5"/>
  <c r="V530" i="5"/>
  <c r="V531" i="5"/>
  <c r="V532" i="5"/>
  <c r="V533" i="5"/>
  <c r="V534" i="5"/>
  <c r="V535" i="5"/>
  <c r="V536" i="5"/>
  <c r="V537" i="5"/>
  <c r="V538" i="5"/>
  <c r="V539" i="5"/>
  <c r="V540" i="5"/>
  <c r="V541" i="5"/>
  <c r="V542" i="5"/>
  <c r="V543" i="5"/>
  <c r="V544" i="5"/>
  <c r="V545" i="5"/>
  <c r="V546" i="5"/>
  <c r="V547" i="5"/>
  <c r="V548" i="5"/>
  <c r="V549" i="5"/>
  <c r="V550" i="5"/>
  <c r="V551" i="5"/>
  <c r="V552" i="5"/>
  <c r="V553" i="5"/>
  <c r="V554" i="5"/>
  <c r="V555" i="5"/>
  <c r="V556" i="5"/>
  <c r="V557" i="5"/>
  <c r="V558" i="5"/>
  <c r="V559" i="5"/>
  <c r="V560" i="5"/>
  <c r="V561" i="5"/>
  <c r="V562" i="5"/>
  <c r="V563" i="5"/>
  <c r="V564" i="5"/>
  <c r="V565" i="5"/>
  <c r="V566" i="5"/>
  <c r="V567" i="5"/>
  <c r="V568" i="5"/>
  <c r="V569" i="5"/>
  <c r="V570" i="5"/>
  <c r="V571" i="5"/>
  <c r="V572" i="5"/>
  <c r="V573" i="5"/>
  <c r="V574" i="5"/>
  <c r="V575" i="5"/>
  <c r="V576" i="5"/>
  <c r="V577" i="5"/>
  <c r="V578" i="5"/>
  <c r="V579" i="5"/>
  <c r="V580" i="5"/>
  <c r="V581" i="5"/>
  <c r="V582" i="5"/>
  <c r="V583" i="5"/>
  <c r="V584" i="5"/>
  <c r="V585" i="5"/>
  <c r="V586" i="5"/>
  <c r="V587" i="5"/>
  <c r="V588" i="5"/>
  <c r="V589" i="5"/>
  <c r="V590" i="5"/>
  <c r="V591" i="5"/>
  <c r="V592" i="5"/>
  <c r="V593" i="5"/>
  <c r="V594" i="5"/>
  <c r="V595" i="5"/>
  <c r="V596" i="5"/>
  <c r="V597" i="5"/>
  <c r="V598" i="5"/>
  <c r="V599" i="5"/>
  <c r="V600" i="5"/>
  <c r="V601" i="5"/>
  <c r="V602" i="5"/>
  <c r="V603" i="5"/>
  <c r="V604" i="5"/>
  <c r="V605" i="5"/>
  <c r="V606" i="5"/>
  <c r="V607" i="5"/>
  <c r="V608" i="5"/>
  <c r="V609" i="5"/>
  <c r="V610" i="5"/>
  <c r="V611" i="5"/>
  <c r="V612" i="5"/>
  <c r="V613" i="5"/>
  <c r="V614" i="5"/>
  <c r="V615" i="5"/>
  <c r="V616" i="5"/>
  <c r="V617" i="5"/>
  <c r="V618" i="5"/>
  <c r="V619" i="5"/>
  <c r="V620" i="5"/>
  <c r="V621" i="5"/>
  <c r="V622" i="5"/>
  <c r="V623" i="5"/>
  <c r="V624" i="5"/>
  <c r="V625" i="5"/>
  <c r="V626" i="5"/>
  <c r="V627" i="5"/>
  <c r="V628" i="5"/>
  <c r="V629" i="5"/>
  <c r="V630" i="5"/>
  <c r="V631" i="5"/>
  <c r="V632" i="5"/>
  <c r="V633" i="5"/>
  <c r="V634" i="5"/>
  <c r="V635" i="5"/>
  <c r="V636" i="5"/>
  <c r="V637" i="5"/>
  <c r="V638" i="5"/>
  <c r="V639" i="5"/>
  <c r="V640" i="5"/>
  <c r="V641" i="5"/>
  <c r="V642" i="5"/>
  <c r="V643" i="5"/>
  <c r="V644" i="5"/>
  <c r="V645" i="5"/>
  <c r="V646" i="5"/>
  <c r="V647" i="5"/>
  <c r="V648" i="5"/>
  <c r="V649" i="5"/>
  <c r="V650" i="5"/>
  <c r="V651" i="5"/>
  <c r="V652" i="5"/>
  <c r="V653" i="5"/>
  <c r="V654" i="5"/>
  <c r="V655" i="5"/>
  <c r="V656" i="5"/>
  <c r="V657" i="5"/>
  <c r="V658" i="5"/>
  <c r="V659" i="5"/>
  <c r="V660" i="5"/>
  <c r="V661" i="5"/>
  <c r="V662" i="5"/>
  <c r="V663" i="5"/>
  <c r="V664" i="5"/>
  <c r="V665" i="5"/>
  <c r="V666" i="5"/>
  <c r="V667" i="5"/>
  <c r="V668" i="5"/>
  <c r="V669" i="5"/>
  <c r="V670" i="5"/>
  <c r="V671" i="5"/>
  <c r="V672" i="5"/>
  <c r="V673" i="5"/>
  <c r="V674" i="5"/>
  <c r="V675" i="5"/>
  <c r="V676" i="5"/>
  <c r="V677" i="5"/>
  <c r="V678" i="5"/>
  <c r="V679" i="5"/>
  <c r="V680" i="5"/>
  <c r="V681" i="5"/>
  <c r="V682" i="5"/>
  <c r="V683" i="5"/>
  <c r="V684" i="5"/>
  <c r="V685" i="5"/>
  <c r="V686" i="5"/>
  <c r="V687" i="5"/>
  <c r="V688" i="5"/>
  <c r="V689" i="5"/>
  <c r="V690" i="5"/>
  <c r="V691" i="5"/>
  <c r="V692" i="5"/>
  <c r="V693" i="5"/>
  <c r="V694" i="5"/>
  <c r="V695" i="5"/>
  <c r="V696" i="5"/>
  <c r="V697" i="5"/>
  <c r="V698" i="5"/>
  <c r="V699" i="5"/>
  <c r="V700" i="5"/>
  <c r="V701" i="5"/>
  <c r="V702" i="5"/>
  <c r="V703" i="5"/>
  <c r="V704" i="5"/>
  <c r="V705" i="5"/>
  <c r="V706" i="5"/>
  <c r="V707" i="5"/>
  <c r="V708" i="5"/>
  <c r="V709" i="5"/>
  <c r="V710" i="5"/>
  <c r="V711" i="5"/>
  <c r="V712" i="5"/>
  <c r="V713" i="5"/>
  <c r="V714" i="5"/>
  <c r="V715" i="5"/>
  <c r="V716" i="5"/>
  <c r="V717" i="5"/>
  <c r="V718" i="5"/>
  <c r="V719" i="5"/>
  <c r="V720" i="5"/>
  <c r="V721" i="5"/>
  <c r="V722" i="5"/>
  <c r="V723" i="5"/>
  <c r="V724" i="5"/>
  <c r="V725" i="5"/>
  <c r="V726" i="5"/>
  <c r="V727" i="5"/>
  <c r="V728" i="5"/>
  <c r="V729" i="5"/>
  <c r="V730" i="5"/>
  <c r="V731" i="5"/>
  <c r="V732" i="5"/>
  <c r="V733" i="5"/>
  <c r="V734" i="5"/>
  <c r="V735" i="5"/>
  <c r="V736" i="5"/>
  <c r="V737" i="5"/>
  <c r="V738" i="5"/>
  <c r="V739" i="5"/>
  <c r="V740" i="5"/>
  <c r="V741" i="5"/>
  <c r="V742" i="5"/>
  <c r="V743" i="5"/>
  <c r="V744" i="5"/>
  <c r="V745" i="5"/>
  <c r="V746" i="5"/>
  <c r="V747" i="5"/>
  <c r="V748" i="5"/>
  <c r="V749" i="5"/>
  <c r="V750" i="5"/>
  <c r="V751" i="5"/>
  <c r="V752" i="5"/>
  <c r="V753" i="5"/>
  <c r="V754" i="5"/>
  <c r="V755" i="5"/>
  <c r="V756" i="5"/>
  <c r="V757" i="5"/>
  <c r="V758" i="5"/>
  <c r="V759" i="5"/>
  <c r="V760" i="5"/>
  <c r="V761" i="5"/>
  <c r="V762" i="5"/>
  <c r="V763" i="5"/>
  <c r="V764" i="5"/>
  <c r="V765" i="5"/>
  <c r="V766" i="5"/>
  <c r="V767" i="5"/>
  <c r="V768" i="5"/>
  <c r="V769" i="5"/>
  <c r="V770" i="5"/>
  <c r="V771" i="5"/>
  <c r="V772" i="5"/>
  <c r="V773" i="5"/>
  <c r="V774" i="5"/>
  <c r="V775" i="5"/>
  <c r="V776" i="5"/>
  <c r="V777" i="5"/>
  <c r="V778" i="5"/>
  <c r="V779" i="5"/>
  <c r="V780" i="5"/>
  <c r="V781" i="5"/>
  <c r="V782" i="5"/>
  <c r="V783" i="5"/>
  <c r="V784" i="5"/>
  <c r="V785" i="5"/>
  <c r="V786" i="5"/>
  <c r="V787" i="5"/>
  <c r="V788" i="5"/>
  <c r="V789" i="5"/>
  <c r="V790" i="5"/>
  <c r="V791" i="5"/>
  <c r="V792" i="5"/>
  <c r="V793" i="5"/>
  <c r="V794" i="5"/>
  <c r="V795" i="5"/>
  <c r="V796" i="5"/>
  <c r="V797" i="5"/>
  <c r="V798" i="5"/>
  <c r="V799" i="5"/>
  <c r="V800" i="5"/>
  <c r="V801" i="5"/>
  <c r="V802" i="5"/>
  <c r="V803" i="5"/>
  <c r="V804" i="5"/>
  <c r="V805" i="5"/>
  <c r="V806" i="5"/>
  <c r="V807" i="5"/>
  <c r="V808" i="5"/>
  <c r="V809" i="5"/>
  <c r="V810" i="5"/>
  <c r="V811" i="5"/>
  <c r="V812" i="5"/>
  <c r="V813" i="5"/>
  <c r="V814" i="5"/>
  <c r="V815" i="5"/>
  <c r="V816" i="5"/>
  <c r="V817" i="5"/>
  <c r="V818" i="5"/>
  <c r="V819" i="5"/>
  <c r="V820" i="5"/>
  <c r="V821" i="5"/>
  <c r="V822" i="5"/>
  <c r="V823" i="5"/>
  <c r="V824" i="5"/>
  <c r="V825" i="5"/>
  <c r="V826" i="5"/>
  <c r="V827" i="5"/>
  <c r="V828" i="5"/>
  <c r="V829" i="5"/>
  <c r="V830" i="5"/>
  <c r="V831" i="5"/>
  <c r="V832" i="5"/>
  <c r="V833" i="5"/>
  <c r="V834" i="5"/>
  <c r="V835" i="5"/>
  <c r="V836" i="5"/>
  <c r="V837" i="5"/>
  <c r="V838" i="5"/>
  <c r="V839" i="5"/>
  <c r="V840" i="5"/>
  <c r="V841" i="5"/>
  <c r="V842" i="5"/>
  <c r="V843" i="5"/>
  <c r="V844" i="5"/>
  <c r="V845" i="5"/>
  <c r="V846" i="5"/>
  <c r="V847" i="5"/>
  <c r="V848" i="5"/>
  <c r="V849" i="5"/>
  <c r="V850" i="5"/>
  <c r="V851" i="5"/>
  <c r="V852" i="5"/>
  <c r="V853" i="5"/>
  <c r="V854" i="5"/>
  <c r="V855" i="5"/>
  <c r="V856" i="5"/>
  <c r="V857" i="5"/>
  <c r="V858" i="5"/>
  <c r="V859" i="5"/>
  <c r="V860" i="5"/>
  <c r="V861" i="5"/>
  <c r="V862" i="5"/>
  <c r="V863" i="5"/>
  <c r="V864" i="5"/>
  <c r="V865" i="5"/>
  <c r="V866" i="5"/>
  <c r="V867" i="5"/>
  <c r="V868" i="5"/>
  <c r="V869" i="5"/>
  <c r="V870" i="5"/>
  <c r="V871" i="5"/>
  <c r="V872" i="5"/>
  <c r="V873" i="5"/>
  <c r="V874" i="5"/>
  <c r="V875" i="5"/>
  <c r="V876" i="5"/>
  <c r="V877" i="5"/>
  <c r="V878" i="5"/>
  <c r="V879" i="5"/>
  <c r="V880" i="5"/>
  <c r="V881" i="5"/>
  <c r="V882" i="5"/>
  <c r="V883" i="5"/>
  <c r="V884" i="5"/>
  <c r="V885" i="5"/>
  <c r="V886" i="5"/>
  <c r="V887" i="5"/>
  <c r="V888" i="5"/>
  <c r="V889" i="5"/>
  <c r="V890" i="5"/>
  <c r="V891" i="5"/>
  <c r="V892" i="5"/>
  <c r="V893" i="5"/>
  <c r="V894" i="5"/>
  <c r="V895" i="5"/>
  <c r="V896" i="5"/>
  <c r="V897" i="5"/>
  <c r="V898" i="5"/>
  <c r="V899" i="5"/>
  <c r="V900" i="5"/>
  <c r="V901" i="5"/>
  <c r="V902" i="5"/>
  <c r="V903" i="5"/>
  <c r="V904" i="5"/>
  <c r="V905" i="5"/>
  <c r="V906" i="5"/>
  <c r="V907" i="5"/>
  <c r="V908" i="5"/>
  <c r="V909" i="5"/>
  <c r="V910" i="5"/>
  <c r="V911" i="5"/>
  <c r="V912" i="5"/>
  <c r="V913" i="5"/>
  <c r="V914" i="5"/>
  <c r="V915" i="5"/>
  <c r="V916" i="5"/>
  <c r="V917" i="5"/>
  <c r="V918" i="5"/>
  <c r="V919" i="5"/>
  <c r="V920" i="5"/>
  <c r="V921" i="5"/>
  <c r="V922" i="5"/>
  <c r="V923" i="5"/>
  <c r="V924" i="5"/>
  <c r="V925" i="5"/>
  <c r="V926" i="5"/>
  <c r="V927" i="5"/>
  <c r="V928" i="5"/>
  <c r="V929" i="5"/>
  <c r="V930" i="5"/>
  <c r="V931" i="5"/>
  <c r="V932" i="5"/>
  <c r="V933" i="5"/>
  <c r="V934" i="5"/>
  <c r="V935" i="5"/>
  <c r="V936" i="5"/>
  <c r="V937" i="5"/>
  <c r="V938" i="5"/>
  <c r="V939" i="5"/>
  <c r="V940" i="5"/>
  <c r="V941" i="5"/>
  <c r="V942" i="5"/>
  <c r="V943" i="5"/>
  <c r="V944" i="5"/>
  <c r="V945" i="5"/>
  <c r="V946" i="5"/>
  <c r="V947" i="5"/>
  <c r="V948" i="5"/>
  <c r="V949" i="5"/>
  <c r="V950" i="5"/>
  <c r="V951" i="5"/>
  <c r="V952" i="5"/>
  <c r="V953" i="5"/>
  <c r="V954" i="5"/>
  <c r="V955" i="5"/>
  <c r="V956" i="5"/>
  <c r="V957" i="5"/>
  <c r="V958" i="5"/>
  <c r="V959" i="5"/>
  <c r="V960" i="5"/>
  <c r="V961" i="5"/>
  <c r="V962" i="5"/>
  <c r="V963" i="5"/>
  <c r="V964" i="5"/>
  <c r="V965" i="5"/>
  <c r="V966" i="5"/>
  <c r="V967" i="5"/>
  <c r="V968" i="5"/>
  <c r="V969" i="5"/>
  <c r="V970" i="5"/>
  <c r="V971" i="5"/>
  <c r="V972" i="5"/>
  <c r="V973" i="5"/>
  <c r="V974" i="5"/>
  <c r="V975" i="5"/>
  <c r="V976" i="5"/>
  <c r="V977" i="5"/>
  <c r="V978" i="5"/>
  <c r="V979" i="5"/>
  <c r="V980" i="5"/>
  <c r="V981" i="5"/>
  <c r="V982" i="5"/>
  <c r="V983" i="5"/>
  <c r="V984" i="5"/>
  <c r="V985" i="5"/>
  <c r="V986" i="5"/>
  <c r="V987" i="5"/>
  <c r="V988" i="5"/>
  <c r="V989" i="5"/>
  <c r="V990" i="5"/>
  <c r="V991" i="5"/>
  <c r="V992" i="5"/>
  <c r="V993" i="5"/>
  <c r="V994" i="5"/>
  <c r="V995" i="5"/>
  <c r="V996" i="5"/>
  <c r="V997" i="5"/>
  <c r="V998" i="5"/>
  <c r="V999" i="5"/>
  <c r="V1000" i="5"/>
  <c r="V1001" i="5"/>
  <c r="V1002" i="5"/>
  <c r="V1003" i="5"/>
  <c r="V1004" i="5"/>
  <c r="V1005" i="5"/>
  <c r="V1006" i="5"/>
  <c r="V1007" i="5"/>
  <c r="V1008" i="5"/>
  <c r="V1009" i="5"/>
  <c r="V1010" i="5"/>
  <c r="V1011" i="5"/>
  <c r="V1012" i="5"/>
  <c r="V1013" i="5"/>
  <c r="V1014" i="5"/>
  <c r="V1015" i="5"/>
  <c r="V1016" i="5"/>
  <c r="V1017" i="5"/>
  <c r="V1018" i="5"/>
  <c r="V1019" i="5"/>
  <c r="V1020" i="5"/>
  <c r="V1021" i="5"/>
  <c r="V1022" i="5"/>
  <c r="V1023" i="5"/>
  <c r="V1024" i="5"/>
  <c r="V1025" i="5"/>
  <c r="V1026" i="5"/>
  <c r="V1027" i="5"/>
  <c r="V1028" i="5"/>
  <c r="V1029" i="5"/>
  <c r="V1030" i="5"/>
  <c r="V1031" i="5"/>
  <c r="V1032" i="5"/>
  <c r="V1033" i="5"/>
  <c r="V1034" i="5"/>
  <c r="V1035" i="5"/>
  <c r="V1036" i="5"/>
  <c r="V1037" i="5"/>
  <c r="V1038" i="5"/>
  <c r="V1039" i="5"/>
  <c r="V1040" i="5"/>
  <c r="V1041" i="5"/>
  <c r="V1042" i="5"/>
  <c r="V1043" i="5"/>
  <c r="V1044" i="5"/>
  <c r="V1045" i="5"/>
  <c r="V1046" i="5"/>
  <c r="V1047" i="5"/>
  <c r="V1048" i="5"/>
  <c r="V1049" i="5"/>
  <c r="V1050" i="5"/>
  <c r="V1051" i="5"/>
  <c r="V1052" i="5"/>
  <c r="V1053" i="5"/>
  <c r="V1054" i="5"/>
  <c r="V1055" i="5"/>
  <c r="V1056" i="5"/>
  <c r="V1057" i="5"/>
  <c r="V1058" i="5"/>
  <c r="V1059" i="5"/>
  <c r="V1060" i="5"/>
  <c r="V1061" i="5"/>
  <c r="V1062" i="5"/>
  <c r="V1063" i="5"/>
  <c r="V1064" i="5"/>
  <c r="V1065" i="5"/>
  <c r="V1066" i="5"/>
  <c r="V1067" i="5"/>
  <c r="V1068" i="5"/>
  <c r="V1069" i="5"/>
  <c r="V1070" i="5"/>
  <c r="V1071" i="5"/>
  <c r="V1072" i="5"/>
  <c r="V1073" i="5"/>
  <c r="V1074" i="5"/>
  <c r="V1075" i="5"/>
  <c r="V1076" i="5"/>
  <c r="V1077" i="5"/>
  <c r="V1078" i="5"/>
  <c r="V1079" i="5"/>
  <c r="V1080" i="5"/>
  <c r="V1081" i="5"/>
  <c r="V1082" i="5"/>
  <c r="V1083" i="5"/>
  <c r="V1084" i="5"/>
  <c r="V1085" i="5"/>
  <c r="V1086" i="5"/>
  <c r="V1087" i="5"/>
  <c r="V1088" i="5"/>
  <c r="V1089" i="5"/>
  <c r="V1090" i="5"/>
  <c r="V1091" i="5"/>
  <c r="V1092" i="5"/>
  <c r="V1093" i="5"/>
  <c r="V1094" i="5"/>
  <c r="V1095" i="5"/>
  <c r="V1096" i="5"/>
  <c r="V1097" i="5"/>
  <c r="V1098" i="5"/>
  <c r="V1099" i="5"/>
  <c r="V1100" i="5"/>
  <c r="V1101" i="5"/>
  <c r="V1102" i="5"/>
  <c r="V1103" i="5"/>
  <c r="V1104" i="5"/>
  <c r="V1105" i="5"/>
  <c r="V1106" i="5"/>
  <c r="V1107" i="5"/>
  <c r="V1108" i="5"/>
  <c r="V1109" i="5"/>
  <c r="V1110" i="5"/>
  <c r="V1111" i="5"/>
  <c r="V1112" i="5"/>
  <c r="V1113" i="5"/>
  <c r="V1114" i="5"/>
  <c r="V1115" i="5"/>
  <c r="V1116" i="5"/>
  <c r="V1117" i="5"/>
  <c r="V1118" i="5"/>
  <c r="V1119" i="5"/>
  <c r="V1120" i="5"/>
  <c r="V1121" i="5"/>
  <c r="V1122" i="5"/>
  <c r="V1123" i="5"/>
  <c r="V1124" i="5"/>
  <c r="V1125" i="5"/>
  <c r="V1126" i="5"/>
  <c r="V1127" i="5"/>
  <c r="V1128" i="5"/>
  <c r="V1129" i="5"/>
  <c r="V1130" i="5"/>
  <c r="V1131" i="5"/>
  <c r="V1132" i="5"/>
  <c r="V1133" i="5"/>
  <c r="V1134" i="5"/>
  <c r="V1135" i="5"/>
  <c r="V1136" i="5"/>
  <c r="V1137" i="5"/>
  <c r="V1138" i="5"/>
  <c r="V1139" i="5"/>
  <c r="V1140" i="5"/>
  <c r="V1141" i="5"/>
  <c r="V1142" i="5"/>
  <c r="V1143" i="5"/>
  <c r="V1144" i="5"/>
  <c r="V1145" i="5"/>
  <c r="V1146" i="5"/>
  <c r="V1147" i="5"/>
  <c r="V1148" i="5"/>
  <c r="V1149" i="5"/>
  <c r="V1150" i="5"/>
  <c r="V1151" i="5"/>
  <c r="V1152" i="5"/>
  <c r="V1153" i="5"/>
  <c r="V1154" i="5"/>
  <c r="V1155" i="5"/>
  <c r="V1156" i="5"/>
  <c r="V1157" i="5"/>
  <c r="V1158" i="5"/>
  <c r="V1159" i="5"/>
  <c r="V1160" i="5"/>
  <c r="V1161" i="5"/>
  <c r="V1162" i="5"/>
  <c r="V1163" i="5"/>
  <c r="V1164" i="5"/>
  <c r="V1165" i="5"/>
  <c r="V1166" i="5"/>
  <c r="V1167" i="5"/>
  <c r="V1168" i="5"/>
  <c r="V1169" i="5"/>
  <c r="V1170" i="5"/>
  <c r="V1171" i="5"/>
  <c r="V1172" i="5"/>
  <c r="V1173" i="5"/>
  <c r="V1174" i="5"/>
  <c r="V1175" i="5"/>
  <c r="V1176" i="5"/>
  <c r="V1177" i="5"/>
  <c r="V1178" i="5"/>
  <c r="V1179" i="5"/>
  <c r="V1180" i="5"/>
  <c r="V1181" i="5"/>
  <c r="V1182" i="5"/>
  <c r="V1183" i="5"/>
  <c r="V1184" i="5"/>
  <c r="V1185" i="5"/>
  <c r="V1186" i="5"/>
  <c r="V1187" i="5"/>
  <c r="V1188" i="5"/>
  <c r="V1189" i="5"/>
  <c r="V1190" i="5"/>
  <c r="V1191" i="5"/>
  <c r="V1192" i="5"/>
  <c r="V1193" i="5"/>
  <c r="V1194" i="5"/>
  <c r="V1195" i="5"/>
  <c r="V1196" i="5"/>
  <c r="V1197" i="5"/>
  <c r="V1198" i="5"/>
  <c r="V1199" i="5"/>
  <c r="V1200" i="5"/>
  <c r="V1201" i="5"/>
  <c r="V1202" i="5"/>
  <c r="V1203" i="5"/>
  <c r="V1204" i="5"/>
  <c r="V1205" i="5"/>
  <c r="V1206" i="5"/>
  <c r="V1207" i="5"/>
  <c r="V1208" i="5"/>
  <c r="V1209" i="5"/>
  <c r="V1210" i="5"/>
  <c r="V1211" i="5"/>
  <c r="V1212" i="5"/>
  <c r="V1213" i="5"/>
  <c r="V1214" i="5"/>
  <c r="V1215" i="5"/>
  <c r="V1216" i="5"/>
  <c r="V1217" i="5"/>
  <c r="V1218" i="5"/>
  <c r="V1219" i="5"/>
  <c r="V1220" i="5"/>
  <c r="V1221" i="5"/>
  <c r="V1222" i="5"/>
  <c r="V1223" i="5"/>
  <c r="V1224" i="5"/>
  <c r="V1225" i="5"/>
  <c r="V1226" i="5"/>
  <c r="V1227" i="5"/>
  <c r="V1228" i="5"/>
  <c r="V1229" i="5"/>
  <c r="V1230" i="5"/>
  <c r="V1231" i="5"/>
  <c r="V1232" i="5"/>
  <c r="V1233" i="5"/>
  <c r="V1234" i="5"/>
  <c r="V1235" i="5"/>
  <c r="V1236" i="5"/>
  <c r="V1237" i="5"/>
  <c r="V1238" i="5"/>
  <c r="V1239" i="5"/>
  <c r="V1240" i="5"/>
  <c r="V1241" i="5"/>
  <c r="V1242" i="5"/>
  <c r="V1243" i="5"/>
  <c r="V1244" i="5"/>
  <c r="V1245" i="5"/>
  <c r="V1246" i="5"/>
  <c r="V1247" i="5"/>
  <c r="V1248" i="5"/>
  <c r="V1249" i="5"/>
  <c r="V1250" i="5"/>
  <c r="V1251" i="5"/>
  <c r="V1252" i="5"/>
  <c r="V1253" i="5"/>
  <c r="V1254" i="5"/>
  <c r="V1255" i="5"/>
  <c r="V1256" i="5"/>
  <c r="V1257" i="5"/>
  <c r="V1258" i="5"/>
  <c r="V1259" i="5"/>
  <c r="V1260" i="5"/>
  <c r="V1261" i="5"/>
  <c r="V1262" i="5"/>
  <c r="V1263" i="5"/>
  <c r="V1264" i="5"/>
  <c r="V1265" i="5"/>
  <c r="V1266" i="5"/>
  <c r="V1267" i="5"/>
  <c r="V1268" i="5"/>
  <c r="V1269" i="5"/>
  <c r="V1270" i="5"/>
  <c r="V1271" i="5"/>
  <c r="V1272" i="5"/>
  <c r="V1273" i="5"/>
  <c r="V1274" i="5"/>
  <c r="V1275" i="5"/>
  <c r="V1276" i="5"/>
  <c r="V1277" i="5"/>
  <c r="V1278" i="5"/>
  <c r="V1279" i="5"/>
  <c r="V1280" i="5"/>
  <c r="V1281" i="5"/>
  <c r="V1282" i="5"/>
  <c r="V1283" i="5"/>
  <c r="V1284" i="5"/>
  <c r="V1285" i="5"/>
  <c r="V1286" i="5"/>
  <c r="V1287" i="5"/>
  <c r="V1288" i="5"/>
  <c r="V1289" i="5"/>
  <c r="V1290" i="5"/>
  <c r="V1291" i="5"/>
  <c r="V1292" i="5"/>
  <c r="V1293" i="5"/>
  <c r="V1294" i="5"/>
  <c r="V1295" i="5"/>
  <c r="V1296" i="5"/>
  <c r="V1297" i="5"/>
  <c r="V1298" i="5"/>
  <c r="V1299" i="5"/>
  <c r="V1300" i="5"/>
  <c r="V1301" i="5"/>
  <c r="V1302" i="5"/>
  <c r="V1303" i="5"/>
  <c r="V1304" i="5"/>
  <c r="V1305" i="5"/>
  <c r="V1306" i="5"/>
  <c r="V1307" i="5"/>
  <c r="V1308" i="5"/>
  <c r="V1309" i="5"/>
  <c r="V1310" i="5"/>
  <c r="V1311" i="5"/>
  <c r="V1312" i="5"/>
  <c r="V1313" i="5"/>
  <c r="V1314" i="5"/>
  <c r="V1315" i="5"/>
  <c r="V1316" i="5"/>
  <c r="V1317" i="5"/>
  <c r="V1318" i="5"/>
  <c r="V1319" i="5"/>
  <c r="V1320" i="5"/>
  <c r="V1321" i="5"/>
  <c r="V1322" i="5"/>
  <c r="V1323" i="5"/>
  <c r="V1324" i="5"/>
  <c r="V1325" i="5"/>
  <c r="V1326" i="5"/>
  <c r="V1327" i="5"/>
  <c r="V1328" i="5"/>
  <c r="V1329" i="5"/>
  <c r="V1330" i="5"/>
  <c r="V1331" i="5"/>
  <c r="V1332" i="5"/>
  <c r="V1333" i="5"/>
  <c r="V1334" i="5"/>
  <c r="V1335" i="5"/>
  <c r="V1336" i="5"/>
  <c r="V1337" i="5"/>
  <c r="V1338" i="5"/>
  <c r="V1339" i="5"/>
  <c r="V1340" i="5"/>
  <c r="V1341" i="5"/>
  <c r="V1342" i="5"/>
  <c r="V1343" i="5"/>
  <c r="V1344" i="5"/>
  <c r="V1345" i="5"/>
  <c r="V1346" i="5"/>
  <c r="V1347" i="5"/>
  <c r="V1348" i="5"/>
  <c r="V1349" i="5"/>
  <c r="V1350" i="5"/>
  <c r="V1351" i="5"/>
  <c r="V1352" i="5"/>
  <c r="V1353" i="5"/>
  <c r="V1354" i="5"/>
  <c r="V1355" i="5"/>
  <c r="V1356" i="5"/>
  <c r="V1357" i="5"/>
  <c r="V1358" i="5"/>
  <c r="V1359" i="5"/>
  <c r="V1360" i="5"/>
  <c r="V1361" i="5"/>
  <c r="V1362" i="5"/>
  <c r="V1363" i="5"/>
  <c r="V1364" i="5"/>
  <c r="V1365" i="5"/>
  <c r="V1366" i="5"/>
  <c r="V1367" i="5"/>
  <c r="V1368" i="5"/>
  <c r="V1369" i="5"/>
  <c r="V1370" i="5"/>
  <c r="V1371" i="5"/>
  <c r="V1372" i="5"/>
  <c r="V1373" i="5"/>
  <c r="V1374" i="5"/>
  <c r="V1375" i="5"/>
  <c r="V1376" i="5"/>
  <c r="V1377" i="5"/>
  <c r="V1378" i="5"/>
  <c r="V1379" i="5"/>
  <c r="V1380" i="5"/>
  <c r="V1381" i="5"/>
  <c r="V1382" i="5"/>
  <c r="V1383" i="5"/>
  <c r="V1384" i="5"/>
  <c r="V1385" i="5"/>
  <c r="V1386" i="5"/>
  <c r="V1387" i="5"/>
  <c r="V1388" i="5"/>
  <c r="V1389" i="5"/>
  <c r="V1390" i="5"/>
  <c r="V1391" i="5"/>
  <c r="V1392" i="5"/>
  <c r="V1393" i="5"/>
  <c r="V1394" i="5"/>
  <c r="V1395" i="5"/>
  <c r="V1396" i="5"/>
  <c r="V1397" i="5"/>
  <c r="V1398" i="5"/>
  <c r="V1399" i="5"/>
  <c r="V1400" i="5"/>
  <c r="V1401" i="5"/>
  <c r="V1402" i="5"/>
  <c r="V1403" i="5"/>
  <c r="V1404" i="5"/>
  <c r="V1405" i="5"/>
  <c r="V1406" i="5"/>
  <c r="V1407" i="5"/>
  <c r="V1408" i="5"/>
  <c r="V1409" i="5"/>
  <c r="V1410" i="5"/>
  <c r="V1411" i="5"/>
  <c r="V1412" i="5"/>
  <c r="V1413" i="5"/>
  <c r="V1414" i="5"/>
  <c r="V1415" i="5"/>
  <c r="V1416" i="5"/>
  <c r="V1417" i="5"/>
  <c r="V1418" i="5"/>
  <c r="V1419" i="5"/>
  <c r="V1420" i="5"/>
  <c r="V1421" i="5"/>
  <c r="V1422" i="5"/>
  <c r="V1423" i="5"/>
  <c r="V1424" i="5"/>
  <c r="V1425" i="5"/>
  <c r="V1426" i="5"/>
  <c r="V1427" i="5"/>
  <c r="V1428" i="5"/>
  <c r="V1429" i="5"/>
  <c r="V1430" i="5"/>
  <c r="V1431" i="5"/>
  <c r="V1432" i="5"/>
  <c r="V1433" i="5"/>
  <c r="V1434" i="5"/>
  <c r="V1435" i="5"/>
  <c r="V1436" i="5"/>
  <c r="V1437" i="5"/>
  <c r="V1438" i="5"/>
  <c r="V1439" i="5"/>
  <c r="V1440" i="5"/>
  <c r="V1441" i="5"/>
  <c r="V1442" i="5"/>
  <c r="V1443" i="5"/>
  <c r="V1444" i="5"/>
  <c r="V1445" i="5"/>
  <c r="V1446" i="5"/>
  <c r="V1447" i="5"/>
  <c r="V1448" i="5"/>
  <c r="V1449" i="5"/>
  <c r="V1450" i="5"/>
  <c r="V1451" i="5"/>
  <c r="V1452" i="5"/>
  <c r="V1453" i="5"/>
  <c r="V1454" i="5"/>
  <c r="V1455" i="5"/>
  <c r="V1456" i="5"/>
  <c r="V1457" i="5"/>
  <c r="V1458" i="5"/>
  <c r="V1459" i="5"/>
  <c r="V1460" i="5"/>
  <c r="V1461" i="5"/>
  <c r="V1462" i="5"/>
  <c r="V1463" i="5"/>
  <c r="V1464" i="5"/>
  <c r="V1465" i="5"/>
  <c r="V1466" i="5"/>
  <c r="V1467" i="5"/>
  <c r="V1468" i="5"/>
  <c r="V1469" i="5"/>
  <c r="V1470" i="5"/>
  <c r="V1471" i="5"/>
  <c r="V1472" i="5"/>
  <c r="V1473" i="5"/>
  <c r="V1474" i="5"/>
  <c r="V1475" i="5"/>
  <c r="V1476" i="5"/>
  <c r="V1477" i="5"/>
  <c r="V1478" i="5"/>
  <c r="V1479" i="5"/>
  <c r="V1480" i="5"/>
  <c r="V1481" i="5"/>
  <c r="V1482" i="5"/>
  <c r="V1483" i="5"/>
  <c r="V1484" i="5"/>
  <c r="V1485" i="5"/>
  <c r="V1486" i="5"/>
  <c r="V1487" i="5"/>
  <c r="V1488" i="5"/>
  <c r="V1489" i="5"/>
  <c r="V1490" i="5"/>
  <c r="V1491" i="5"/>
  <c r="V1492" i="5"/>
  <c r="V1493" i="5"/>
  <c r="V1494" i="5"/>
  <c r="V1495" i="5"/>
  <c r="V1496" i="5"/>
  <c r="V1497" i="5"/>
  <c r="V1498" i="5"/>
  <c r="V1499" i="5"/>
  <c r="V1500" i="5"/>
  <c r="V1501" i="5"/>
  <c r="V1502" i="5"/>
  <c r="V1503" i="5"/>
  <c r="V1504" i="5"/>
  <c r="V1505" i="5"/>
  <c r="V1506" i="5"/>
  <c r="V1507" i="5"/>
  <c r="V1508" i="5"/>
  <c r="V1509" i="5"/>
  <c r="V1510" i="5"/>
  <c r="V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K313" i="8"/>
  <c r="K314" i="8"/>
  <c r="K315" i="8"/>
  <c r="K316" i="8"/>
  <c r="K317" i="8"/>
  <c r="K318" i="8"/>
  <c r="K319" i="8"/>
  <c r="K320" i="8"/>
  <c r="K321" i="8"/>
  <c r="K322" i="8"/>
  <c r="K323" i="8"/>
  <c r="K324" i="8"/>
  <c r="K325" i="8"/>
  <c r="K326" i="8"/>
  <c r="K327" i="8"/>
  <c r="K328" i="8"/>
  <c r="K329"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61" i="8"/>
  <c r="K562" i="8"/>
  <c r="K563" i="8"/>
  <c r="K564" i="8"/>
  <c r="K565" i="8"/>
  <c r="K566" i="8"/>
  <c r="K567" i="8"/>
  <c r="K568" i="8"/>
  <c r="K569" i="8"/>
  <c r="K570" i="8"/>
  <c r="K571" i="8"/>
  <c r="K572" i="8"/>
  <c r="K573" i="8"/>
  <c r="K574" i="8"/>
  <c r="K575" i="8"/>
  <c r="K576"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633" i="8"/>
  <c r="K634" i="8"/>
  <c r="K635" i="8"/>
  <c r="K636" i="8"/>
  <c r="K637" i="8"/>
  <c r="K638" i="8"/>
  <c r="K639"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5" i="8"/>
  <c r="K6" i="8"/>
  <c r="B10" i="6"/>
  <c r="B9" i="6"/>
  <c r="G64" i="6" a="1"/>
  <c r="G64" i="6"/>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S1505" i="5"/>
  <c r="R1504" i="5"/>
  <c r="R1470" i="5"/>
  <c r="R1468" i="5"/>
  <c r="X1466" i="5"/>
  <c r="R1410" i="5"/>
  <c r="R1402" i="5"/>
  <c r="R1395" i="5"/>
  <c r="S1363" i="5"/>
  <c r="R1353" i="5"/>
  <c r="S1316" i="5"/>
  <c r="S1315" i="5"/>
  <c r="S1312" i="5"/>
  <c r="S1289" i="5"/>
  <c r="S1257" i="5"/>
  <c r="R1252" i="5"/>
  <c r="R1250" i="5"/>
  <c r="R1248" i="5"/>
  <c r="R1246" i="5"/>
  <c r="R1245" i="5"/>
  <c r="R1242" i="5"/>
  <c r="R1241" i="5"/>
  <c r="R1218" i="5"/>
  <c r="R1216" i="5"/>
  <c r="R1214" i="5"/>
  <c r="R1208" i="5"/>
  <c r="X1189" i="5"/>
  <c r="R1184" i="5"/>
  <c r="R1176" i="5"/>
  <c r="X1168" i="5"/>
  <c r="R1154" i="5"/>
  <c r="S1150" i="5"/>
  <c r="S1149" i="5"/>
  <c r="S1148" i="5"/>
  <c r="S1144" i="5"/>
  <c r="R1125" i="5"/>
  <c r="R1109" i="5"/>
  <c r="R1093" i="5"/>
  <c r="R1077" i="5"/>
  <c r="R1061" i="5"/>
  <c r="S1050" i="5"/>
  <c r="R1045" i="5"/>
  <c r="R1013" i="5"/>
  <c r="R997" i="5"/>
  <c r="R973" i="5"/>
  <c r="R865" i="5"/>
  <c r="S852" i="5"/>
  <c r="R819" i="5"/>
  <c r="R816" i="5"/>
  <c r="R810" i="5"/>
  <c r="R801" i="5"/>
  <c r="S800" i="5"/>
  <c r="R797" i="5"/>
  <c r="R793" i="5"/>
  <c r="R789" i="5"/>
  <c r="R787" i="5"/>
  <c r="R781" i="5"/>
  <c r="R779" i="5"/>
  <c r="R777" i="5"/>
  <c r="R773" i="5"/>
  <c r="R771" i="5"/>
  <c r="R765" i="5"/>
  <c r="R763" i="5"/>
  <c r="R761" i="5"/>
  <c r="R759" i="5"/>
  <c r="S759" i="5"/>
  <c r="S758" i="5"/>
  <c r="R755" i="5"/>
  <c r="R753" i="5"/>
  <c r="R751" i="5"/>
  <c r="R741" i="5"/>
  <c r="R739" i="5"/>
  <c r="R737" i="5"/>
  <c r="R735" i="5"/>
  <c r="R733" i="5"/>
  <c r="R723" i="5"/>
  <c r="R721" i="5"/>
  <c r="R719" i="5"/>
  <c r="R707" i="5"/>
  <c r="R705" i="5"/>
  <c r="R700" i="5"/>
  <c r="R697" i="5"/>
  <c r="R689" i="5"/>
  <c r="R688" i="5"/>
  <c r="X676" i="5"/>
  <c r="X668" i="5"/>
  <c r="X658" i="5"/>
  <c r="R570" i="5"/>
  <c r="R558" i="5"/>
  <c r="R550" i="5"/>
  <c r="R548" i="5"/>
  <c r="R546" i="5"/>
  <c r="R530" i="5"/>
  <c r="R514" i="5"/>
  <c r="R500" i="5"/>
  <c r="R498" i="5"/>
  <c r="R484" i="5"/>
  <c r="R482" i="5"/>
  <c r="R476" i="5"/>
  <c r="R441" i="5"/>
  <c r="R440" i="5"/>
  <c r="X437" i="5"/>
  <c r="R433" i="5"/>
  <c r="R432" i="5"/>
  <c r="R425" i="5"/>
  <c r="R424" i="5"/>
  <c r="R417" i="5"/>
  <c r="R416" i="5"/>
  <c r="R408" i="5"/>
  <c r="R400" i="5"/>
  <c r="X377" i="5"/>
  <c r="R369" i="5"/>
  <c r="R336" i="5"/>
  <c r="R332" i="5"/>
  <c r="R329" i="5"/>
  <c r="R322" i="5"/>
  <c r="R313" i="5"/>
  <c r="R283" i="5"/>
  <c r="X271" i="5"/>
  <c r="X269" i="5"/>
  <c r="R263" i="5"/>
  <c r="X257" i="5"/>
  <c r="R255" i="5"/>
  <c r="R253" i="5"/>
  <c r="R233" i="5"/>
  <c r="R219" i="5"/>
  <c r="X213" i="5"/>
  <c r="X210" i="5"/>
  <c r="R205" i="5"/>
  <c r="X190" i="5"/>
  <c r="R185" i="5"/>
  <c r="R157" i="5"/>
  <c r="R153" i="5"/>
  <c r="X150" i="5"/>
  <c r="R141" i="5"/>
  <c r="R137" i="5"/>
  <c r="X123" i="5"/>
  <c r="R121" i="5"/>
  <c r="X106" i="5"/>
  <c r="R98" i="5"/>
  <c r="R96" i="5"/>
  <c r="X94" i="5"/>
  <c r="R92" i="5"/>
  <c r="R88" i="5"/>
  <c r="R85" i="5"/>
  <c r="R84" i="5"/>
  <c r="R82" i="5"/>
  <c r="R81" i="5"/>
  <c r="R80" i="5"/>
  <c r="R78" i="5"/>
  <c r="R76" i="5"/>
  <c r="X74" i="5"/>
  <c r="R72" i="5"/>
  <c r="R69" i="5"/>
  <c r="R68" i="5"/>
  <c r="R66" i="5"/>
  <c r="R65" i="5"/>
  <c r="R64" i="5"/>
  <c r="R62" i="5"/>
  <c r="R60" i="5"/>
  <c r="X58" i="5"/>
  <c r="R56" i="5"/>
  <c r="R53" i="5"/>
  <c r="R52" i="5"/>
  <c r="R50" i="5"/>
  <c r="R49" i="5"/>
  <c r="R48" i="5"/>
  <c r="R46" i="5"/>
  <c r="R45" i="5"/>
  <c r="R44" i="5"/>
  <c r="X42" i="5"/>
  <c r="R40" i="5"/>
  <c r="R37" i="5"/>
  <c r="R36" i="5"/>
  <c r="R34" i="5"/>
  <c r="R33" i="5"/>
  <c r="R32" i="5"/>
  <c r="R24" i="5"/>
  <c r="R20" i="5"/>
  <c r="AB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015" i="5"/>
  <c r="AB1624" i="5"/>
  <c r="S1770" i="5"/>
  <c r="AB2465" i="5"/>
  <c r="AB720" i="5"/>
  <c r="AB841" i="5"/>
  <c r="AB1757" i="5"/>
  <c r="AB858" i="5"/>
  <c r="AB552" i="5"/>
  <c r="AB1691" i="5"/>
  <c r="AB1731" i="5"/>
  <c r="AB2088" i="5"/>
  <c r="AB410" i="5"/>
  <c r="R480" i="5"/>
  <c r="AB579" i="5"/>
  <c r="AB674" i="5"/>
  <c r="AB1293" i="5"/>
  <c r="AB1463" i="5"/>
  <c r="S2038" i="5"/>
  <c r="X1479" i="5"/>
  <c r="AB2413" i="5"/>
  <c r="AB1566" i="5"/>
  <c r="AB1594" i="5"/>
  <c r="AB1022" i="5"/>
  <c r="AB488" i="5"/>
  <c r="AB594" i="5"/>
  <c r="AB630" i="5"/>
  <c r="AB1401" i="5"/>
  <c r="S2140" i="5"/>
  <c r="AB324" i="5"/>
  <c r="AB902" i="5"/>
  <c r="AB1071" i="5"/>
  <c r="AB1814" i="5"/>
  <c r="AB446" i="5"/>
  <c r="AB450" i="5"/>
  <c r="AB481" i="5"/>
  <c r="AB643" i="5"/>
  <c r="AB1437" i="5"/>
  <c r="S1596" i="5"/>
  <c r="AB2402" i="5"/>
  <c r="S1748" i="5"/>
  <c r="S2428" i="5"/>
  <c r="AB1115" i="5"/>
  <c r="AB1353" i="5"/>
  <c r="S2068" i="5"/>
  <c r="AB299" i="5"/>
  <c r="AB1140" i="5"/>
  <c r="AB1672" i="5"/>
  <c r="S1754" i="5"/>
  <c r="AB2069" i="5"/>
  <c r="AB2073" i="5"/>
  <c r="R528" i="5"/>
  <c r="R86" i="5"/>
  <c r="AB348" i="5"/>
  <c r="AB1079" i="5"/>
  <c r="AB1110" i="5"/>
  <c r="S1899" i="5"/>
  <c r="AB2480" i="5"/>
  <c r="H2499" i="5"/>
  <c r="AB164" i="5"/>
  <c r="X405" i="5"/>
  <c r="AB903" i="5"/>
  <c r="AB1649" i="5"/>
  <c r="S1835" i="5"/>
  <c r="AB1933" i="5"/>
  <c r="AB1987" i="5"/>
  <c r="H2202" i="5"/>
  <c r="AB2319" i="5"/>
  <c r="S2330" i="5"/>
  <c r="AB2418" i="5"/>
  <c r="AB341" i="5"/>
  <c r="AB384" i="5"/>
  <c r="AB493" i="5"/>
  <c r="AB587" i="5"/>
  <c r="AB1277" i="5"/>
  <c r="S1762" i="5"/>
  <c r="AB1806" i="5"/>
  <c r="S1821" i="5"/>
  <c r="S2047" i="5"/>
  <c r="AB1593" i="5"/>
  <c r="S1696" i="5"/>
  <c r="S1749" i="5"/>
  <c r="S1752" i="5"/>
  <c r="S1766" i="5"/>
  <c r="S2022" i="5"/>
  <c r="AB517" i="5"/>
  <c r="AB607" i="5"/>
  <c r="R897" i="5"/>
  <c r="AB1308" i="5"/>
  <c r="AB1369" i="5"/>
  <c r="S1919" i="5"/>
  <c r="AB2071" i="5"/>
  <c r="AB2166" i="5"/>
  <c r="S2408" i="5"/>
  <c r="AB418" i="5"/>
  <c r="AB972" i="5"/>
  <c r="AB1094" i="5"/>
  <c r="AB1228" i="5"/>
  <c r="S1517" i="5"/>
  <c r="S1539" i="5"/>
  <c r="S1640" i="5"/>
  <c r="S1728" i="5"/>
  <c r="AB1868" i="5"/>
  <c r="S1958" i="5"/>
  <c r="AB1970" i="5"/>
  <c r="AB2317" i="5"/>
  <c r="AB2405" i="5"/>
  <c r="AB2463" i="5"/>
  <c r="AB1377" i="5"/>
  <c r="AB1598" i="5"/>
  <c r="AB1610" i="5"/>
  <c r="S1750" i="5"/>
  <c r="J1905" i="5"/>
  <c r="AB2061" i="5"/>
  <c r="S2212" i="5"/>
  <c r="F20" i="6"/>
  <c r="F21" i="6"/>
  <c r="X1753" i="5"/>
  <c r="H1753" i="5"/>
  <c r="X75" i="5"/>
  <c r="I2158" i="5"/>
  <c r="R70" i="5"/>
  <c r="AB364" i="5"/>
  <c r="R488" i="5"/>
  <c r="AB1312" i="5"/>
  <c r="F2013" i="5"/>
  <c r="X2061" i="5"/>
  <c r="AB2065" i="5"/>
  <c r="AB2152" i="5"/>
  <c r="H2474" i="5"/>
  <c r="X171" i="5"/>
  <c r="AB196" i="5"/>
  <c r="AB467" i="5"/>
  <c r="AB520" i="5"/>
  <c r="AB627" i="5"/>
  <c r="R731" i="5"/>
  <c r="AB1753" i="5"/>
  <c r="H2013" i="5"/>
  <c r="F2433" i="5"/>
  <c r="AB255" i="5"/>
  <c r="AB1165" i="5"/>
  <c r="AB1249" i="5"/>
  <c r="AB1273" i="5"/>
  <c r="AB1280" i="5"/>
  <c r="AB1317" i="5"/>
  <c r="AB1332" i="5"/>
  <c r="R1488" i="5"/>
  <c r="I1593" i="5"/>
  <c r="AB1915" i="5"/>
  <c r="F2072" i="5"/>
  <c r="AB2125" i="5"/>
  <c r="AB2273" i="5"/>
  <c r="X2342" i="5"/>
  <c r="R281" i="5"/>
  <c r="AB372" i="5"/>
  <c r="AB376" i="5"/>
  <c r="AB380" i="5"/>
  <c r="AB1058" i="5"/>
  <c r="H1882" i="5"/>
  <c r="AB2030" i="5"/>
  <c r="AB2395" i="5"/>
  <c r="I2210" i="5"/>
  <c r="AB231" i="5"/>
  <c r="AB838" i="5"/>
  <c r="AB983" i="5"/>
  <c r="AB1288" i="5"/>
  <c r="AB1455" i="5"/>
  <c r="J1551" i="5"/>
  <c r="AB2146" i="5"/>
  <c r="AB2089" i="5"/>
  <c r="AB340" i="5"/>
  <c r="AB469" i="5"/>
  <c r="AB473" i="5"/>
  <c r="AB666" i="5"/>
  <c r="AB1241" i="5"/>
  <c r="AB1531" i="5"/>
  <c r="AB1779" i="5"/>
  <c r="J2045" i="5"/>
  <c r="AB2053" i="5"/>
  <c r="AB2225" i="5"/>
  <c r="AB2229" i="5"/>
  <c r="AB2435" i="5"/>
  <c r="X2450" i="5"/>
  <c r="R780" i="5"/>
  <c r="X780" i="5"/>
  <c r="R630" i="5"/>
  <c r="X612" i="5"/>
  <c r="R612" i="5"/>
  <c r="X1165" i="5"/>
  <c r="X782" i="5"/>
  <c r="R376" i="5"/>
  <c r="R301" i="5"/>
  <c r="S1305" i="5"/>
  <c r="AB1743" i="5"/>
  <c r="S1743" i="5"/>
  <c r="AB1802" i="5"/>
  <c r="F1909" i="5"/>
  <c r="R1909" i="5"/>
  <c r="H1909" i="5"/>
  <c r="R2458" i="5"/>
  <c r="I2458" i="5"/>
  <c r="AB30" i="5"/>
  <c r="AB126" i="5"/>
  <c r="AB438" i="5"/>
  <c r="AB459" i="5"/>
  <c r="AB598" i="5"/>
  <c r="AB794" i="5"/>
  <c r="AB913" i="5"/>
  <c r="AB915" i="5"/>
  <c r="AB929" i="5"/>
  <c r="AB1095" i="5"/>
  <c r="AB1197" i="5"/>
  <c r="AB1276" i="5"/>
  <c r="R1520" i="5"/>
  <c r="J1520" i="5"/>
  <c r="S2440" i="5"/>
  <c r="S2214" i="5"/>
  <c r="S1111" i="5"/>
  <c r="S1867" i="5"/>
  <c r="I2025" i="5"/>
  <c r="H2025" i="5"/>
  <c r="S2269" i="5"/>
  <c r="X2389" i="5"/>
  <c r="AB24" i="5"/>
  <c r="R75" i="5"/>
  <c r="AB102" i="5"/>
  <c r="AB242" i="5"/>
  <c r="AB283" i="5"/>
  <c r="AB308" i="5"/>
  <c r="AB426" i="5"/>
  <c r="AB430" i="5"/>
  <c r="AB457" i="5"/>
  <c r="AB485" i="5"/>
  <c r="AB525" i="5"/>
  <c r="AB614" i="5"/>
  <c r="AB633" i="5"/>
  <c r="AB684" i="5"/>
  <c r="AB712" i="5"/>
  <c r="AB718" i="5"/>
  <c r="R747" i="5"/>
  <c r="AB854" i="5"/>
  <c r="AB964" i="5"/>
  <c r="AB998" i="5"/>
  <c r="AB1082" i="5"/>
  <c r="AB1161" i="5"/>
  <c r="R1237" i="5"/>
  <c r="S1515" i="5"/>
  <c r="S1870" i="5"/>
  <c r="AB1042" i="5"/>
  <c r="X1344" i="5"/>
  <c r="S2168" i="5"/>
  <c r="S2483" i="5"/>
  <c r="X170" i="5"/>
  <c r="AB218" i="5"/>
  <c r="AB235" i="5"/>
  <c r="AB368" i="5"/>
  <c r="AB400" i="5"/>
  <c r="X413" i="5"/>
  <c r="AB442" i="5"/>
  <c r="X491" i="5"/>
  <c r="AB509" i="5"/>
  <c r="AB536" i="5"/>
  <c r="AB556" i="5"/>
  <c r="AB591" i="5"/>
  <c r="S671" i="5"/>
  <c r="AB710" i="5"/>
  <c r="AB845" i="5"/>
  <c r="AB914" i="5"/>
  <c r="AB959" i="5"/>
  <c r="AB1149" i="5"/>
  <c r="AB1177" i="5"/>
  <c r="S1644" i="5"/>
  <c r="S1793" i="5"/>
  <c r="AB1793" i="5"/>
  <c r="X2073" i="5"/>
  <c r="R2073" i="5"/>
  <c r="H2073" i="5"/>
  <c r="F2073" i="5"/>
  <c r="H2080" i="5"/>
  <c r="F2080" i="5"/>
  <c r="J2289" i="5"/>
  <c r="S2434" i="5"/>
  <c r="I2249" i="5"/>
  <c r="H2249" i="5"/>
  <c r="F2249" i="5"/>
  <c r="R38" i="5"/>
  <c r="AB106" i="5"/>
  <c r="AB638" i="5"/>
  <c r="AB730" i="5"/>
  <c r="S855" i="5"/>
  <c r="R1182" i="5"/>
  <c r="R1406" i="5"/>
  <c r="AB1471" i="5"/>
  <c r="X1681" i="5"/>
  <c r="AB1681" i="5"/>
  <c r="S1715" i="5"/>
  <c r="R1898" i="5"/>
  <c r="J1898" i="5"/>
  <c r="F1987" i="5"/>
  <c r="I2005" i="5"/>
  <c r="R2005" i="5"/>
  <c r="S2129" i="5"/>
  <c r="R2150" i="5"/>
  <c r="H2150" i="5"/>
  <c r="X59" i="5"/>
  <c r="X235" i="5"/>
  <c r="R265" i="5"/>
  <c r="X291" i="5"/>
  <c r="AB626" i="5"/>
  <c r="AB659" i="5"/>
  <c r="AB669" i="5"/>
  <c r="AB960" i="5"/>
  <c r="AB1098"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AB1479" i="5"/>
  <c r="AB1657" i="5"/>
  <c r="AB1688" i="5"/>
  <c r="AB1771" i="5"/>
  <c r="R1906" i="5"/>
  <c r="AB1929" i="5"/>
  <c r="S2289" i="5"/>
  <c r="H2380" i="5"/>
  <c r="H2390" i="5"/>
  <c r="AB2406" i="5"/>
  <c r="X1241"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552" i="5"/>
  <c r="AB1573" i="5"/>
  <c r="AB1896" i="5"/>
  <c r="S2014" i="5"/>
  <c r="S2039" i="5"/>
  <c r="S2176" i="5"/>
  <c r="AB2196" i="5"/>
  <c r="S2254" i="5"/>
  <c r="AB2280" i="5"/>
  <c r="S2325" i="5"/>
  <c r="H2450" i="5"/>
  <c r="R2481" i="5"/>
  <c r="AB1261" i="5"/>
  <c r="AB1304" i="5"/>
  <c r="AB1421" i="5"/>
  <c r="X1467" i="5"/>
  <c r="AB1574" i="5"/>
  <c r="S1592" i="5"/>
  <c r="AB1700" i="5"/>
  <c r="AB1747" i="5"/>
  <c r="S1871" i="5"/>
  <c r="AB1903" i="5"/>
  <c r="I2001" i="5"/>
  <c r="S2006" i="5"/>
  <c r="H2009" i="5"/>
  <c r="H2024" i="5"/>
  <c r="AB2093" i="5"/>
  <c r="S2290" i="5"/>
  <c r="S2435" i="5"/>
  <c r="I2450" i="5"/>
  <c r="S1274" i="5"/>
  <c r="AB1340" i="5"/>
  <c r="S1632" i="5"/>
  <c r="X1665" i="5"/>
  <c r="S1700" i="5"/>
  <c r="S1716" i="5"/>
  <c r="S1794" i="5"/>
  <c r="S1843" i="5"/>
  <c r="AB1941" i="5"/>
  <c r="H1984" i="5"/>
  <c r="R2001" i="5"/>
  <c r="AB2007" i="5"/>
  <c r="X2017" i="5"/>
  <c r="AB2031" i="5"/>
  <c r="AB2060" i="5"/>
  <c r="J2146" i="5"/>
  <c r="R2190" i="5"/>
  <c r="J2202" i="5"/>
  <c r="AB2222" i="5"/>
  <c r="S2232" i="5"/>
  <c r="R2450" i="5"/>
  <c r="S2460" i="5"/>
  <c r="I2466" i="5"/>
  <c r="R1230" i="5"/>
  <c r="S1306" i="5"/>
  <c r="AB1338" i="5"/>
  <c r="AB1346" i="5"/>
  <c r="AB1392"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X25" i="5"/>
  <c r="R97" i="5"/>
  <c r="X97" i="5"/>
  <c r="X79" i="5"/>
  <c r="X47" i="5"/>
  <c r="R127" i="5"/>
  <c r="X127" i="5"/>
  <c r="AB895" i="5"/>
  <c r="AB1863" i="5"/>
  <c r="S1863" i="5"/>
  <c r="R54" i="5"/>
  <c r="R74" i="5"/>
  <c r="R189" i="5"/>
  <c r="AB210" i="5"/>
  <c r="R225" i="5"/>
  <c r="X225" i="5"/>
  <c r="R463" i="5"/>
  <c r="R94" i="5"/>
  <c r="AB170" i="5"/>
  <c r="X452" i="5"/>
  <c r="X26" i="5"/>
  <c r="X63" i="5"/>
  <c r="R237" i="5"/>
  <c r="X237" i="5"/>
  <c r="AB262" i="5"/>
  <c r="AB298" i="5"/>
  <c r="R453" i="5"/>
  <c r="X107" i="5"/>
  <c r="R125" i="5"/>
  <c r="AB1447" i="5"/>
  <c r="R22" i="5"/>
  <c r="R90" i="5"/>
  <c r="AB114" i="5"/>
  <c r="R123" i="5"/>
  <c r="R167" i="5"/>
  <c r="X187" i="5"/>
  <c r="R187" i="5"/>
  <c r="X479" i="5"/>
  <c r="R59" i="5"/>
  <c r="R111" i="5"/>
  <c r="R171" i="5"/>
  <c r="X468" i="5"/>
  <c r="R562" i="5"/>
  <c r="I1848" i="5"/>
  <c r="H1848" i="5"/>
  <c r="AB166" i="5"/>
  <c r="R201" i="5"/>
  <c r="R245" i="5"/>
  <c r="AB178" i="5"/>
  <c r="R299" i="5"/>
  <c r="X392" i="5"/>
  <c r="AB110" i="5"/>
  <c r="R30" i="5"/>
  <c r="R107" i="5"/>
  <c r="AB150" i="5"/>
  <c r="AB186" i="5"/>
  <c r="R401" i="5"/>
  <c r="AB230" i="5"/>
  <c r="AB251" i="5"/>
  <c r="AB267" i="5"/>
  <c r="AB453" i="5"/>
  <c r="AB454" i="5"/>
  <c r="AB472" i="5"/>
  <c r="X527" i="5"/>
  <c r="X543" i="5"/>
  <c r="AB560" i="5"/>
  <c r="R584" i="5"/>
  <c r="AB595" i="5"/>
  <c r="R674" i="5"/>
  <c r="AB875" i="5"/>
  <c r="X875" i="5"/>
  <c r="AB907" i="5"/>
  <c r="AB942" i="5"/>
  <c r="AB974" i="5"/>
  <c r="AB990" i="5"/>
  <c r="R1210" i="5"/>
  <c r="R271" i="5"/>
  <c r="X604" i="5"/>
  <c r="R604" i="5"/>
  <c r="R644" i="5"/>
  <c r="X788" i="5"/>
  <c r="R851" i="5"/>
  <c r="AB851" i="5"/>
  <c r="X982" i="5"/>
  <c r="AB982" i="5"/>
  <c r="AB1026" i="5"/>
  <c r="AB1086" i="5"/>
  <c r="AB132" i="5"/>
  <c r="AB190" i="5"/>
  <c r="AB263" i="5"/>
  <c r="AB275" i="5"/>
  <c r="AB357" i="5"/>
  <c r="AB365" i="5"/>
  <c r="AB434" i="5"/>
  <c r="AB551" i="5"/>
  <c r="AB696" i="5"/>
  <c r="R696" i="5"/>
  <c r="AB808" i="5"/>
  <c r="AB872" i="5"/>
  <c r="AB882" i="5"/>
  <c r="S882" i="5"/>
  <c r="X175" i="5"/>
  <c r="X616" i="5"/>
  <c r="R616" i="5"/>
  <c r="R685" i="5"/>
  <c r="X768" i="5"/>
  <c r="X786" i="5"/>
  <c r="AB836" i="5"/>
  <c r="X836" i="5"/>
  <c r="S911" i="5"/>
  <c r="AB1014" i="5"/>
  <c r="AB207" i="5"/>
  <c r="AB215" i="5"/>
  <c r="AB282" i="5"/>
  <c r="AB356" i="5"/>
  <c r="AB451" i="5"/>
  <c r="X652" i="5"/>
  <c r="AB869" i="5"/>
  <c r="AB948" i="5"/>
  <c r="X1011" i="5"/>
  <c r="AB567" i="5"/>
  <c r="X656" i="5"/>
  <c r="R656" i="5"/>
  <c r="R796" i="5"/>
  <c r="X796" i="5"/>
  <c r="AB122" i="5"/>
  <c r="AB174" i="5"/>
  <c r="AB219" i="5"/>
  <c r="AB239" i="5"/>
  <c r="AB278" i="5"/>
  <c r="AB316" i="5"/>
  <c r="AB396" i="5"/>
  <c r="AB404" i="5"/>
  <c r="AB414" i="5"/>
  <c r="AB422" i="5"/>
  <c r="AB458" i="5"/>
  <c r="AB468" i="5"/>
  <c r="R646" i="5"/>
  <c r="AB680" i="5"/>
  <c r="R680" i="5"/>
  <c r="R701" i="5"/>
  <c r="X784" i="5"/>
  <c r="AB856" i="5"/>
  <c r="AB909" i="5"/>
  <c r="AB575" i="5"/>
  <c r="AB603" i="5"/>
  <c r="AB610" i="5"/>
  <c r="AB639" i="5"/>
  <c r="AB641" i="5"/>
  <c r="AB646" i="5"/>
  <c r="AB654" i="5"/>
  <c r="AB738" i="5"/>
  <c r="AB806" i="5"/>
  <c r="AB823" i="5"/>
  <c r="AB825" i="5"/>
  <c r="S863" i="5"/>
  <c r="AB888" i="5"/>
  <c r="AB911" i="5"/>
  <c r="AB916" i="5"/>
  <c r="AB927" i="5"/>
  <c r="AB930" i="5"/>
  <c r="AB945" i="5"/>
  <c r="X1031" i="5"/>
  <c r="AB1107" i="5"/>
  <c r="S1112" i="5"/>
  <c r="AB1325" i="5"/>
  <c r="AB1705" i="5"/>
  <c r="X1717" i="5"/>
  <c r="H1717" i="5"/>
  <c r="AB809" i="5"/>
  <c r="AB601" i="5"/>
  <c r="AB649" i="5"/>
  <c r="R715" i="5"/>
  <c r="AB748" i="5"/>
  <c r="AB893" i="5"/>
  <c r="AB931" i="5"/>
  <c r="AB958" i="5"/>
  <c r="AB1018" i="5"/>
  <c r="AB1043" i="5"/>
  <c r="AB1126" i="5"/>
  <c r="AB1372" i="5"/>
  <c r="S1588" i="5"/>
  <c r="AB541" i="5"/>
  <c r="AB583" i="5"/>
  <c r="AB615" i="5"/>
  <c r="AB617" i="5"/>
  <c r="R678" i="5"/>
  <c r="X700" i="5"/>
  <c r="X720" i="5"/>
  <c r="AB741" i="5"/>
  <c r="S774" i="5"/>
  <c r="X807" i="5"/>
  <c r="X813" i="5"/>
  <c r="AB898" i="5"/>
  <c r="AB946" i="5"/>
  <c r="S988" i="5"/>
  <c r="X1102" i="5"/>
  <c r="X1136" i="5"/>
  <c r="AB1193" i="5"/>
  <c r="AB613" i="5"/>
  <c r="AB621" i="5"/>
  <c r="AB647" i="5"/>
  <c r="AB688" i="5"/>
  <c r="AB805" i="5"/>
  <c r="AB887" i="5"/>
  <c r="S912" i="5"/>
  <c r="X1082" i="5"/>
  <c r="AB1103" i="5"/>
  <c r="AB1118" i="5"/>
  <c r="AB1157" i="5"/>
  <c r="AB1233" i="5"/>
  <c r="X1233" i="5"/>
  <c r="AB1320" i="5"/>
  <c r="AB1352" i="5"/>
  <c r="R1352" i="5"/>
  <c r="R1369" i="5"/>
  <c r="AB1385" i="5"/>
  <c r="R1385" i="5"/>
  <c r="R1506" i="5"/>
  <c r="AB835" i="5"/>
  <c r="AB986" i="5"/>
  <c r="AB1034" i="5"/>
  <c r="AB1106" i="5"/>
  <c r="X1157" i="5"/>
  <c r="AB609" i="5"/>
  <c r="AB622" i="5"/>
  <c r="AB662" i="5"/>
  <c r="AB671" i="5"/>
  <c r="AB708" i="5"/>
  <c r="AB732" i="5"/>
  <c r="AB744" i="5"/>
  <c r="AB782" i="5"/>
  <c r="X809" i="5"/>
  <c r="AB833" i="5"/>
  <c r="AB881" i="5"/>
  <c r="AB890" i="5"/>
  <c r="AB899" i="5"/>
  <c r="AB944" i="5"/>
  <c r="X991" i="5"/>
  <c r="AB1038" i="5"/>
  <c r="X1094" i="5"/>
  <c r="AB1417" i="5"/>
  <c r="AB1054" i="5"/>
  <c r="AB1074" i="5"/>
  <c r="AB1162" i="5"/>
  <c r="AB1164" i="5"/>
  <c r="AB1170" i="5"/>
  <c r="AB1212" i="5"/>
  <c r="AB1223" i="5"/>
  <c r="AB1226" i="5"/>
  <c r="AB1313" i="5"/>
  <c r="AB1362" i="5"/>
  <c r="AB1365" i="5"/>
  <c r="AB1376" i="5"/>
  <c r="AB1475" i="5"/>
  <c r="X1497" i="5"/>
  <c r="J1539" i="5"/>
  <c r="I1539" i="5"/>
  <c r="AB1554" i="5"/>
  <c r="S1628" i="5"/>
  <c r="X1661" i="5"/>
  <c r="F1661" i="5"/>
  <c r="I1889" i="5"/>
  <c r="J1889" i="5"/>
  <c r="S1819" i="5"/>
  <c r="F1968" i="5"/>
  <c r="AB1090" i="5"/>
  <c r="AB1145" i="5"/>
  <c r="R1148" i="5"/>
  <c r="X1161" i="5"/>
  <c r="AB1207" i="5"/>
  <c r="AB1237" i="5"/>
  <c r="AB1245" i="5"/>
  <c r="S1273" i="5"/>
  <c r="S1278" i="5"/>
  <c r="AB1305" i="5"/>
  <c r="S1313" i="5"/>
  <c r="AB1344" i="5"/>
  <c r="AB1409" i="5"/>
  <c r="AB1459" i="5"/>
  <c r="S1513" i="5"/>
  <c r="H1523" i="5"/>
  <c r="S1537" i="5"/>
  <c r="S1545" i="5"/>
  <c r="AB1775" i="5"/>
  <c r="S1775" i="5"/>
  <c r="R1917" i="5"/>
  <c r="J1917" i="5"/>
  <c r="I1917" i="5"/>
  <c r="X1917" i="5"/>
  <c r="AB1923" i="5"/>
  <c r="S1923" i="5"/>
  <c r="S2026" i="5"/>
  <c r="AB1050" i="5"/>
  <c r="AB1131" i="5"/>
  <c r="AB1194" i="5"/>
  <c r="X1245" i="5"/>
  <c r="AB1281" i="5"/>
  <c r="AB1300" i="5"/>
  <c r="AB1348" i="5"/>
  <c r="R1450" i="5"/>
  <c r="X1450" i="5"/>
  <c r="AB1490" i="5"/>
  <c r="R1492"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AB1253" i="5"/>
  <c r="AB1333" i="5"/>
  <c r="AB1373" i="5"/>
  <c r="R1454" i="5"/>
  <c r="X1511" i="5"/>
  <c r="AB1539" i="5"/>
  <c r="S1556" i="5"/>
  <c r="AB1561" i="5"/>
  <c r="S1608" i="5"/>
  <c r="AB1633" i="5"/>
  <c r="AB1640" i="5"/>
  <c r="AB1680" i="5"/>
  <c r="X1680" i="5"/>
  <c r="S1782" i="5"/>
  <c r="AB1851" i="5"/>
  <c r="R1957" i="5"/>
  <c r="X1957" i="5"/>
  <c r="I1957" i="5"/>
  <c r="J1957" i="5"/>
  <c r="AB1960" i="5"/>
  <c r="I2037" i="5"/>
  <c r="R2037" i="5"/>
  <c r="H2037" i="5"/>
  <c r="F2037" i="5"/>
  <c r="X2037" i="5"/>
  <c r="J2037" i="5"/>
  <c r="S2206" i="5"/>
  <c r="AB2236" i="5"/>
  <c r="S2236" i="5"/>
  <c r="AB1209" i="5"/>
  <c r="J1524" i="5"/>
  <c r="R1524" i="5"/>
  <c r="X1637" i="5"/>
  <c r="F1637" i="5"/>
  <c r="S1660" i="5"/>
  <c r="X1677" i="5"/>
  <c r="F1677" i="5"/>
  <c r="S1720" i="5"/>
  <c r="AB1735" i="5"/>
  <c r="R1735" i="5"/>
  <c r="I1847" i="5"/>
  <c r="F1927" i="5"/>
  <c r="S2072" i="5"/>
  <c r="S987" i="5"/>
  <c r="AB994" i="5"/>
  <c r="AB1147" i="5"/>
  <c r="AB1154" i="5"/>
  <c r="AB1173" i="5"/>
  <c r="AB1217" i="5"/>
  <c r="X1237" i="5"/>
  <c r="AB1301" i="5"/>
  <c r="AB1309" i="5"/>
  <c r="AB1349" i="5"/>
  <c r="AB1382" i="5"/>
  <c r="AB1393" i="5"/>
  <c r="AB1397" i="5"/>
  <c r="AB1454" i="5"/>
  <c r="AB1491" i="5"/>
  <c r="X1499"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X2065"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X1953" i="5"/>
  <c r="S2010" i="5"/>
  <c r="AB2048" i="5"/>
  <c r="X2185"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X61" i="5"/>
  <c r="R73" i="5"/>
  <c r="X73" i="5"/>
  <c r="R109" i="5"/>
  <c r="R133" i="5"/>
  <c r="R169" i="5"/>
  <c r="X169" i="5"/>
  <c r="X195" i="5"/>
  <c r="R195" i="5"/>
  <c r="R67" i="5"/>
  <c r="X67" i="5"/>
  <c r="R19" i="5"/>
  <c r="X19" i="5"/>
  <c r="X35" i="5"/>
  <c r="R35" i="5"/>
  <c r="R139" i="5"/>
  <c r="X139" i="5"/>
  <c r="X193" i="5"/>
  <c r="X227" i="5"/>
  <c r="R227" i="5"/>
  <c r="R41" i="5"/>
  <c r="X41" i="5"/>
  <c r="R143" i="5"/>
  <c r="X143" i="5"/>
  <c r="X177" i="5"/>
  <c r="R177" i="5"/>
  <c r="X183" i="5"/>
  <c r="R183" i="5"/>
  <c r="R241" i="5"/>
  <c r="X247" i="5"/>
  <c r="R247" i="5"/>
  <c r="X259" i="5"/>
  <c r="R259" i="5"/>
  <c r="R173" i="5"/>
  <c r="R93" i="5"/>
  <c r="X93" i="5"/>
  <c r="R99" i="5"/>
  <c r="X99" i="5"/>
  <c r="R135" i="5"/>
  <c r="X135" i="5"/>
  <c r="X159" i="5"/>
  <c r="R159" i="5"/>
  <c r="R373" i="5"/>
  <c r="X27" i="5"/>
  <c r="R27" i="5"/>
  <c r="R83" i="5"/>
  <c r="X83" i="5"/>
  <c r="R51" i="5"/>
  <c r="X51" i="5"/>
  <c r="R77" i="5"/>
  <c r="X77" i="5"/>
  <c r="R89" i="5"/>
  <c r="X89" i="5"/>
  <c r="X129" i="5"/>
  <c r="R199" i="5"/>
  <c r="X199" i="5"/>
  <c r="X131" i="5"/>
  <c r="R131" i="5"/>
  <c r="R57" i="5"/>
  <c r="X57" i="5"/>
  <c r="R105" i="5"/>
  <c r="X105" i="5"/>
  <c r="X119" i="5"/>
  <c r="R119" i="5"/>
  <c r="R197" i="5"/>
  <c r="R223" i="5"/>
  <c r="X223" i="5"/>
  <c r="R229" i="5"/>
  <c r="X229" i="5"/>
  <c r="R337" i="5"/>
  <c r="X337" i="5"/>
  <c r="X31" i="5"/>
  <c r="X113" i="5"/>
  <c r="R113" i="5"/>
  <c r="R155" i="5"/>
  <c r="X155" i="5"/>
  <c r="R203" i="5"/>
  <c r="X203" i="5"/>
  <c r="R249" i="5"/>
  <c r="R39" i="5"/>
  <c r="R55" i="5"/>
  <c r="AB140" i="5"/>
  <c r="AB156" i="5"/>
  <c r="AB160" i="5"/>
  <c r="R179" i="5"/>
  <c r="AB204" i="5"/>
  <c r="AB211" i="5"/>
  <c r="R231" i="5"/>
  <c r="R267" i="5"/>
  <c r="R289" i="5"/>
  <c r="X289" i="5"/>
  <c r="X295" i="5"/>
  <c r="R295" i="5"/>
  <c r="R360" i="5"/>
  <c r="X404" i="5"/>
  <c r="R404" i="5"/>
  <c r="R437" i="5"/>
  <c r="X444" i="5"/>
  <c r="R444" i="5"/>
  <c r="X448" i="5"/>
  <c r="AB455" i="5"/>
  <c r="R457" i="5"/>
  <c r="X457" i="5"/>
  <c r="R492" i="5"/>
  <c r="X548" i="5"/>
  <c r="R693" i="5"/>
  <c r="R699" i="5"/>
  <c r="R704" i="5"/>
  <c r="AB222" i="5"/>
  <c r="AB254" i="5"/>
  <c r="AB258" i="5"/>
  <c r="AB270" i="5"/>
  <c r="AB363" i="5"/>
  <c r="R389" i="5"/>
  <c r="X389" i="5"/>
  <c r="R421" i="5"/>
  <c r="X428" i="5"/>
  <c r="R428" i="5"/>
  <c r="X432" i="5"/>
  <c r="X620" i="5"/>
  <c r="R620" i="5"/>
  <c r="AB307" i="5"/>
  <c r="R341" i="5"/>
  <c r="R397" i="5"/>
  <c r="X397" i="5"/>
  <c r="R42" i="5"/>
  <c r="X45" i="5"/>
  <c r="X55" i="5"/>
  <c r="AB118" i="5"/>
  <c r="AB130" i="5"/>
  <c r="X179" i="5"/>
  <c r="AB182" i="5"/>
  <c r="AB194" i="5"/>
  <c r="R235" i="5"/>
  <c r="X263" i="5"/>
  <c r="X299" i="5"/>
  <c r="AB315" i="5"/>
  <c r="R325" i="5"/>
  <c r="AB330" i="5"/>
  <c r="R348" i="5"/>
  <c r="R353" i="5"/>
  <c r="R356" i="5"/>
  <c r="R380" i="5"/>
  <c r="AB395" i="5"/>
  <c r="X400" i="5"/>
  <c r="X409" i="5"/>
  <c r="X421" i="5"/>
  <c r="R445" i="5"/>
  <c r="R516" i="5"/>
  <c r="R532" i="5"/>
  <c r="X660" i="5"/>
  <c r="R660" i="5"/>
  <c r="AB867" i="5"/>
  <c r="AB1003" i="5"/>
  <c r="X219" i="5"/>
  <c r="AB290" i="5"/>
  <c r="X349" i="5"/>
  <c r="X381" i="5"/>
  <c r="X408" i="5"/>
  <c r="X425" i="5"/>
  <c r="R58" i="5"/>
  <c r="X23" i="5"/>
  <c r="AB26" i="5"/>
  <c r="X39" i="5"/>
  <c r="AB22" i="5"/>
  <c r="R25" i="5"/>
  <c r="R47" i="5"/>
  <c r="R63" i="5"/>
  <c r="R79" i="5"/>
  <c r="R95" i="5"/>
  <c r="AB108" i="5"/>
  <c r="X111" i="5"/>
  <c r="AB124" i="5"/>
  <c r="AB128" i="5"/>
  <c r="X137" i="5"/>
  <c r="AB146" i="5"/>
  <c r="R147" i="5"/>
  <c r="X166" i="5"/>
  <c r="X167" i="5"/>
  <c r="AB172" i="5"/>
  <c r="AB188" i="5"/>
  <c r="AB192" i="5"/>
  <c r="AB206" i="5"/>
  <c r="AB214" i="5"/>
  <c r="AB226" i="5"/>
  <c r="X231" i="5"/>
  <c r="R273" i="5"/>
  <c r="X273" i="5"/>
  <c r="R285" i="5"/>
  <c r="R291" i="5"/>
  <c r="AB294" i="5"/>
  <c r="AB337" i="5"/>
  <c r="AB383" i="5"/>
  <c r="R405" i="5"/>
  <c r="R409" i="5"/>
  <c r="X412" i="5"/>
  <c r="R412" i="5"/>
  <c r="X416" i="5"/>
  <c r="X433" i="5"/>
  <c r="X445" i="5"/>
  <c r="R449" i="5"/>
  <c r="X449" i="5"/>
  <c r="AB471" i="5"/>
  <c r="AB477" i="5"/>
  <c r="AB529" i="5"/>
  <c r="R606" i="5"/>
  <c r="R642" i="5"/>
  <c r="AB266" i="5"/>
  <c r="AB134" i="5"/>
  <c r="AB142" i="5"/>
  <c r="X145" i="5"/>
  <c r="X161" i="5"/>
  <c r="AB198" i="5"/>
  <c r="X255" i="5"/>
  <c r="X267" i="5"/>
  <c r="X283" i="5"/>
  <c r="AB306" i="5"/>
  <c r="AB323" i="5"/>
  <c r="R345" i="5"/>
  <c r="AB349" i="5"/>
  <c r="AB381" i="5"/>
  <c r="R385" i="5"/>
  <c r="X385" i="5"/>
  <c r="R429" i="5"/>
  <c r="X436" i="5"/>
  <c r="R436" i="5"/>
  <c r="X440" i="5"/>
  <c r="R456" i="5"/>
  <c r="R760" i="5"/>
  <c r="X760" i="5"/>
  <c r="R317" i="5"/>
  <c r="X33" i="5"/>
  <c r="X49" i="5"/>
  <c r="X65" i="5"/>
  <c r="X81" i="5"/>
  <c r="X110" i="5"/>
  <c r="AB138" i="5"/>
  <c r="AB154" i="5"/>
  <c r="AB158" i="5"/>
  <c r="AB202" i="5"/>
  <c r="AB223" i="5"/>
  <c r="AB238" i="5"/>
  <c r="X245" i="5"/>
  <c r="AB246" i="5"/>
  <c r="R257" i="5"/>
  <c r="AB259" i="5"/>
  <c r="AB274" i="5"/>
  <c r="X275" i="5"/>
  <c r="R275" i="5"/>
  <c r="R333" i="5"/>
  <c r="R357" i="5"/>
  <c r="R364" i="5"/>
  <c r="R368" i="5"/>
  <c r="X396" i="5"/>
  <c r="R396" i="5"/>
  <c r="X417" i="5"/>
  <c r="X429" i="5"/>
  <c r="X511" i="5"/>
  <c r="X523" i="5"/>
  <c r="R566" i="5"/>
  <c r="R638" i="5"/>
  <c r="X726" i="5"/>
  <c r="X742" i="5"/>
  <c r="AB322" i="5"/>
  <c r="AB32" i="5"/>
  <c r="X53" i="5"/>
  <c r="X69" i="5"/>
  <c r="X85" i="5"/>
  <c r="X95" i="5"/>
  <c r="R101" i="5"/>
  <c r="R145" i="5"/>
  <c r="X147" i="5"/>
  <c r="AB162" i="5"/>
  <c r="R165" i="5"/>
  <c r="AB227" i="5"/>
  <c r="AB247" i="5"/>
  <c r="R269" i="5"/>
  <c r="R309" i="5"/>
  <c r="AB314" i="5"/>
  <c r="R321" i="5"/>
  <c r="AB331" i="5"/>
  <c r="R349" i="5"/>
  <c r="R377" i="5"/>
  <c r="R381" i="5"/>
  <c r="X388" i="5"/>
  <c r="R388" i="5"/>
  <c r="X401" i="5"/>
  <c r="R413" i="5"/>
  <c r="X420" i="5"/>
  <c r="R420" i="5"/>
  <c r="X424" i="5"/>
  <c r="X441" i="5"/>
  <c r="R448" i="5"/>
  <c r="AB545" i="5"/>
  <c r="R544" i="5"/>
  <c r="X564" i="5"/>
  <c r="R564" i="5"/>
  <c r="AB611" i="5"/>
  <c r="AB623" i="5"/>
  <c r="R666" i="5"/>
  <c r="X666" i="5"/>
  <c r="AB704" i="5"/>
  <c r="X734" i="5"/>
  <c r="AB752" i="5"/>
  <c r="R752" i="5"/>
  <c r="AB849" i="5"/>
  <c r="X1006" i="5"/>
  <c r="R1408" i="5"/>
  <c r="R1414" i="5"/>
  <c r="R1553" i="5"/>
  <c r="F1553" i="5"/>
  <c r="AB243" i="5"/>
  <c r="AB279" i="5"/>
  <c r="AB311" i="5"/>
  <c r="AB319" i="5"/>
  <c r="AB327" i="5"/>
  <c r="AB344" i="5"/>
  <c r="AB347" i="5"/>
  <c r="R361" i="5"/>
  <c r="R379" i="5"/>
  <c r="AB388" i="5"/>
  <c r="R392" i="5"/>
  <c r="R393" i="5"/>
  <c r="R407" i="5"/>
  <c r="AB417" i="5"/>
  <c r="AB425" i="5"/>
  <c r="AB433" i="5"/>
  <c r="AB441" i="5"/>
  <c r="AB449" i="5"/>
  <c r="R461" i="5"/>
  <c r="X461" i="5"/>
  <c r="AB489" i="5"/>
  <c r="AB501" i="5"/>
  <c r="AB505" i="5"/>
  <c r="AB513" i="5"/>
  <c r="AB521" i="5"/>
  <c r="AB537" i="5"/>
  <c r="X547" i="5"/>
  <c r="R556" i="5"/>
  <c r="X563" i="5"/>
  <c r="AB571" i="5"/>
  <c r="R626" i="5"/>
  <c r="R658" i="5"/>
  <c r="AB661" i="5"/>
  <c r="R683" i="5"/>
  <c r="AB724" i="5"/>
  <c r="X770" i="5"/>
  <c r="R901" i="5"/>
  <c r="S932" i="5"/>
  <c r="AB295" i="5"/>
  <c r="AB302" i="5"/>
  <c r="AB355" i="5"/>
  <c r="AB379" i="5"/>
  <c r="AB407" i="5"/>
  <c r="AB415" i="5"/>
  <c r="AB423" i="5"/>
  <c r="AB424" i="5"/>
  <c r="AB431" i="5"/>
  <c r="AB432" i="5"/>
  <c r="AB439" i="5"/>
  <c r="AB440" i="5"/>
  <c r="AB447" i="5"/>
  <c r="AB448" i="5"/>
  <c r="R452" i="5"/>
  <c r="AB461" i="5"/>
  <c r="X507" i="5"/>
  <c r="X539" i="5"/>
  <c r="X551" i="5"/>
  <c r="X552" i="5"/>
  <c r="R552" i="5"/>
  <c r="X560" i="5"/>
  <c r="R560" i="5"/>
  <c r="AB563" i="5"/>
  <c r="R582" i="5"/>
  <c r="X628" i="5"/>
  <c r="R628" i="5"/>
  <c r="AB631" i="5"/>
  <c r="X694" i="5"/>
  <c r="R831" i="5"/>
  <c r="X453" i="5"/>
  <c r="R512" i="5"/>
  <c r="R598" i="5"/>
  <c r="R618" i="5"/>
  <c r="R691" i="5"/>
  <c r="X828" i="5"/>
  <c r="AB971" i="5"/>
  <c r="AB234" i="5"/>
  <c r="AB250" i="5"/>
  <c r="AB271" i="5"/>
  <c r="AB286" i="5"/>
  <c r="AB291" i="5"/>
  <c r="X302" i="5"/>
  <c r="AB304" i="5"/>
  <c r="AB371" i="5"/>
  <c r="R372" i="5"/>
  <c r="AB387" i="5"/>
  <c r="AB391" i="5"/>
  <c r="AB392" i="5"/>
  <c r="AB399" i="5"/>
  <c r="AB460" i="5"/>
  <c r="AB462" i="5"/>
  <c r="R504" i="5"/>
  <c r="R520" i="5"/>
  <c r="AB533" i="5"/>
  <c r="R536" i="5"/>
  <c r="AB547" i="5"/>
  <c r="AB555" i="5"/>
  <c r="X584" i="5"/>
  <c r="R586" i="5"/>
  <c r="AB599" i="5"/>
  <c r="X636" i="5"/>
  <c r="R636" i="5"/>
  <c r="AB651" i="5"/>
  <c r="AB677" i="5"/>
  <c r="AB716" i="5"/>
  <c r="X736" i="5"/>
  <c r="R776" i="5"/>
  <c r="X776" i="5"/>
  <c r="X790" i="5"/>
  <c r="R933" i="5"/>
  <c r="AB955" i="5"/>
  <c r="AB967" i="5"/>
  <c r="X1018" i="5"/>
  <c r="X1114" i="5"/>
  <c r="AB287" i="5"/>
  <c r="AB309" i="5"/>
  <c r="AB317" i="5"/>
  <c r="AB325" i="5"/>
  <c r="AB335" i="5"/>
  <c r="X361" i="5"/>
  <c r="X393" i="5"/>
  <c r="AB413" i="5"/>
  <c r="AB421" i="5"/>
  <c r="AB429" i="5"/>
  <c r="AB437" i="5"/>
  <c r="AB445" i="5"/>
  <c r="X455" i="5"/>
  <c r="AB463" i="5"/>
  <c r="X495" i="5"/>
  <c r="AB504" i="5"/>
  <c r="AB559" i="5"/>
  <c r="R614" i="5"/>
  <c r="AB619" i="5"/>
  <c r="X624" i="5"/>
  <c r="R624" i="5"/>
  <c r="R692" i="5"/>
  <c r="X692" i="5"/>
  <c r="X728" i="5"/>
  <c r="AB749" i="5"/>
  <c r="AB757" i="5"/>
  <c r="AB813" i="5"/>
  <c r="AB403" i="5"/>
  <c r="AB411" i="5"/>
  <c r="AB419" i="5"/>
  <c r="AB420" i="5"/>
  <c r="AB427" i="5"/>
  <c r="AB428" i="5"/>
  <c r="AB435" i="5"/>
  <c r="AB436" i="5"/>
  <c r="AB443" i="5"/>
  <c r="AB444" i="5"/>
  <c r="AB456" i="5"/>
  <c r="AB470" i="5"/>
  <c r="AB497" i="5"/>
  <c r="R508" i="5"/>
  <c r="R540" i="5"/>
  <c r="X568" i="5"/>
  <c r="R568" i="5"/>
  <c r="X572" i="5"/>
  <c r="R572" i="5"/>
  <c r="R610" i="5"/>
  <c r="R622" i="5"/>
  <c r="AB635" i="5"/>
  <c r="R654" i="5"/>
  <c r="X654" i="5"/>
  <c r="R767" i="5"/>
  <c r="X1059" i="5"/>
  <c r="X1062" i="5"/>
  <c r="X1070" i="5"/>
  <c r="AB645" i="5"/>
  <c r="AB655" i="5"/>
  <c r="AB746" i="5"/>
  <c r="X758" i="5"/>
  <c r="AB762" i="5"/>
  <c r="R772" i="5"/>
  <c r="X772" i="5"/>
  <c r="R800" i="5"/>
  <c r="AB807" i="5"/>
  <c r="AB839" i="5"/>
  <c r="AB843" i="5"/>
  <c r="S854" i="5"/>
  <c r="X862" i="5"/>
  <c r="AB891" i="5"/>
  <c r="R913" i="5"/>
  <c r="X1038" i="5"/>
  <c r="X1043" i="5"/>
  <c r="AB1046" i="5"/>
  <c r="X1054" i="5"/>
  <c r="X1078" i="5"/>
  <c r="S1265" i="5"/>
  <c r="AB1265" i="5"/>
  <c r="AB602" i="5"/>
  <c r="AB629" i="5"/>
  <c r="AB634" i="5"/>
  <c r="AB650" i="5"/>
  <c r="R652" i="5"/>
  <c r="AB667" i="5"/>
  <c r="R668" i="5"/>
  <c r="AB673" i="5"/>
  <c r="AB678" i="5"/>
  <c r="AB700" i="5"/>
  <c r="AB725" i="5"/>
  <c r="AB733" i="5"/>
  <c r="AB740" i="5"/>
  <c r="AB742" i="5"/>
  <c r="AB754" i="5"/>
  <c r="R764" i="5"/>
  <c r="X764" i="5"/>
  <c r="AB766" i="5"/>
  <c r="R766" i="5"/>
  <c r="X778" i="5"/>
  <c r="X824" i="5"/>
  <c r="AB828" i="5"/>
  <c r="AB852" i="5"/>
  <c r="AB885" i="5"/>
  <c r="X934" i="5"/>
  <c r="X990" i="5"/>
  <c r="R1009" i="5"/>
  <c r="X1034" i="5"/>
  <c r="X1046" i="5"/>
  <c r="X1091" i="5"/>
  <c r="R1132" i="5"/>
  <c r="X1132" i="5"/>
  <c r="X1185" i="5"/>
  <c r="AB679" i="5"/>
  <c r="R784" i="5"/>
  <c r="R804" i="5"/>
  <c r="X804" i="5"/>
  <c r="X812" i="5"/>
  <c r="R812" i="5"/>
  <c r="AB840" i="5"/>
  <c r="X878" i="5"/>
  <c r="R885" i="5"/>
  <c r="AB935" i="5"/>
  <c r="R953" i="5"/>
  <c r="AB1010" i="5"/>
  <c r="X1023" i="5"/>
  <c r="R1025" i="5"/>
  <c r="R1201" i="5"/>
  <c r="X1201" i="5"/>
  <c r="AB605" i="5"/>
  <c r="AB663" i="5"/>
  <c r="AB695" i="5"/>
  <c r="AB726" i="5"/>
  <c r="AB734" i="5"/>
  <c r="S743" i="5"/>
  <c r="AB758" i="5"/>
  <c r="AB770" i="5"/>
  <c r="AB790" i="5"/>
  <c r="S796" i="5"/>
  <c r="AB820" i="5"/>
  <c r="AB848" i="5"/>
  <c r="AB865" i="5"/>
  <c r="AB879" i="5"/>
  <c r="R941" i="5"/>
  <c r="AB947" i="5"/>
  <c r="AB1023" i="5"/>
  <c r="X1027" i="5"/>
  <c r="AB1030" i="5"/>
  <c r="X1047" i="5"/>
  <c r="X1050" i="5"/>
  <c r="X1063" i="5"/>
  <c r="AB1087" i="5"/>
  <c r="X1130" i="5"/>
  <c r="R1147" i="5"/>
  <c r="X1147" i="5"/>
  <c r="AB452" i="5"/>
  <c r="AB625" i="5"/>
  <c r="AB637" i="5"/>
  <c r="AB653" i="5"/>
  <c r="AB657" i="5"/>
  <c r="AB709" i="5"/>
  <c r="AB717" i="5"/>
  <c r="X756" i="5"/>
  <c r="AB774" i="5"/>
  <c r="R774" i="5"/>
  <c r="R783" i="5"/>
  <c r="R792" i="5"/>
  <c r="X792" i="5"/>
  <c r="AB798" i="5"/>
  <c r="AB824" i="5"/>
  <c r="S851" i="5"/>
  <c r="S866" i="5"/>
  <c r="X894" i="5"/>
  <c r="X910" i="5"/>
  <c r="R917" i="5"/>
  <c r="AB951" i="5"/>
  <c r="R969" i="5"/>
  <c r="X1019" i="5"/>
  <c r="AB1027" i="5"/>
  <c r="X1087" i="5"/>
  <c r="AB1119" i="5"/>
  <c r="X1139" i="5"/>
  <c r="R1139" i="5"/>
  <c r="AB590" i="5"/>
  <c r="AB618" i="5"/>
  <c r="AB642" i="5"/>
  <c r="AB658" i="5"/>
  <c r="AB665" i="5"/>
  <c r="AB675" i="5"/>
  <c r="R676" i="5"/>
  <c r="AB692" i="5"/>
  <c r="AB714" i="5"/>
  <c r="AB722" i="5"/>
  <c r="AB728" i="5"/>
  <c r="AB736" i="5"/>
  <c r="AB750" i="5"/>
  <c r="R750" i="5"/>
  <c r="X798" i="5"/>
  <c r="X800" i="5"/>
  <c r="AB834" i="5"/>
  <c r="AB846" i="5"/>
  <c r="AB866" i="5"/>
  <c r="S872" i="5"/>
  <c r="R881" i="5"/>
  <c r="AB883" i="5"/>
  <c r="X883" i="5"/>
  <c r="X938" i="5"/>
  <c r="X995" i="5"/>
  <c r="X999" i="5"/>
  <c r="AB1002" i="5"/>
  <c r="S1169" i="5"/>
  <c r="AB1169" i="5"/>
  <c r="AB606" i="5"/>
  <c r="AB670" i="5"/>
  <c r="X674" i="5"/>
  <c r="R768" i="5"/>
  <c r="R788" i="5"/>
  <c r="X802" i="5"/>
  <c r="AB812" i="5"/>
  <c r="X820" i="5"/>
  <c r="AB829" i="5"/>
  <c r="S887" i="5"/>
  <c r="X931" i="5"/>
  <c r="AB954" i="5"/>
  <c r="AB999" i="5"/>
  <c r="AB1006" i="5"/>
  <c r="S1059" i="5"/>
  <c r="AB1059" i="5"/>
  <c r="AB1070" i="5"/>
  <c r="AB1114" i="5"/>
  <c r="AB778" i="5"/>
  <c r="AB818" i="5"/>
  <c r="AB831" i="5"/>
  <c r="AB832" i="5"/>
  <c r="AB837" i="5"/>
  <c r="AB842" i="5"/>
  <c r="AB844" i="5"/>
  <c r="AB870" i="5"/>
  <c r="AB874" i="5"/>
  <c r="S888" i="5"/>
  <c r="AB900" i="5"/>
  <c r="AB932" i="5"/>
  <c r="AB936" i="5"/>
  <c r="AB941" i="5"/>
  <c r="AB943" i="5"/>
  <c r="AB956" i="5"/>
  <c r="AB962" i="5"/>
  <c r="AB963" i="5"/>
  <c r="AB966" i="5"/>
  <c r="AB978" i="5"/>
  <c r="AB995" i="5"/>
  <c r="AB1019" i="5"/>
  <c r="AB1062" i="5"/>
  <c r="X1111" i="5"/>
  <c r="AB1138" i="5"/>
  <c r="X1160" i="5"/>
  <c r="S1189" i="5"/>
  <c r="AB1202" i="5"/>
  <c r="AB1205" i="5"/>
  <c r="X1209" i="5"/>
  <c r="AB1213" i="5"/>
  <c r="R1229" i="5"/>
  <c r="X1229" i="5"/>
  <c r="AB822" i="5"/>
  <c r="X888" i="5"/>
  <c r="AB920" i="5"/>
  <c r="AB940" i="5"/>
  <c r="AB952" i="5"/>
  <c r="X954" i="5"/>
  <c r="X966" i="5"/>
  <c r="AB979" i="5"/>
  <c r="X1022" i="5"/>
  <c r="R1035" i="5"/>
  <c r="AB1039" i="5"/>
  <c r="S1051" i="5"/>
  <c r="X1083" i="5"/>
  <c r="AB1111" i="5"/>
  <c r="AB1123" i="5"/>
  <c r="X1126" i="5"/>
  <c r="R1166" i="5"/>
  <c r="AB1172" i="5"/>
  <c r="R1178" i="5"/>
  <c r="R1205" i="5"/>
  <c r="X1205" i="5"/>
  <c r="X1236" i="5"/>
  <c r="AB850" i="5"/>
  <c r="AB939" i="5"/>
  <c r="AB1015" i="5"/>
  <c r="AB1035" i="5"/>
  <c r="AB1055" i="5"/>
  <c r="AB1066" i="5"/>
  <c r="AB1083" i="5"/>
  <c r="R1095" i="5"/>
  <c r="X1103" i="5"/>
  <c r="AB1130" i="5"/>
  <c r="X1154" i="5"/>
  <c r="AB1181" i="5"/>
  <c r="AB1189" i="5"/>
  <c r="AB1201" i="5"/>
  <c r="R1213" i="5"/>
  <c r="X1213" i="5"/>
  <c r="AB1221" i="5"/>
  <c r="X1224" i="5"/>
  <c r="AB1260" i="5"/>
  <c r="AB1487" i="5"/>
  <c r="S1521" i="5"/>
  <c r="S1828" i="5"/>
  <c r="AB1837" i="5"/>
  <c r="S1837" i="5"/>
  <c r="AB975" i="5"/>
  <c r="AB991" i="5"/>
  <c r="AB1051" i="5"/>
  <c r="X1127" i="5"/>
  <c r="AB1133" i="5"/>
  <c r="R1133" i="5"/>
  <c r="R1165" i="5"/>
  <c r="R1173" i="5"/>
  <c r="AB1174" i="5"/>
  <c r="AB753" i="5"/>
  <c r="AB786" i="5"/>
  <c r="AB802" i="5"/>
  <c r="AB826" i="5"/>
  <c r="AB847" i="5"/>
  <c r="AB853" i="5"/>
  <c r="AB886" i="5"/>
  <c r="AB904" i="5"/>
  <c r="AB919" i="5"/>
  <c r="AB923" i="5"/>
  <c r="AB925" i="5"/>
  <c r="AB937" i="5"/>
  <c r="AB950" i="5"/>
  <c r="AB968" i="5"/>
  <c r="AB987" i="5"/>
  <c r="AB1011" i="5"/>
  <c r="AB1031" i="5"/>
  <c r="X1075" i="5"/>
  <c r="AB1078" i="5"/>
  <c r="AB1127" i="5"/>
  <c r="X1143" i="5"/>
  <c r="AB1159" i="5"/>
  <c r="R1161" i="5"/>
  <c r="AB1168" i="5"/>
  <c r="X1173" i="5"/>
  <c r="R1186" i="5"/>
  <c r="X1221" i="5"/>
  <c r="AB1239" i="5"/>
  <c r="AB1007" i="5"/>
  <c r="AB1047" i="5"/>
  <c r="AB1075" i="5"/>
  <c r="X1119" i="5"/>
  <c r="X1152" i="5"/>
  <c r="R1169" i="5"/>
  <c r="X1169" i="5"/>
  <c r="AB1184" i="5"/>
  <c r="X1249" i="5"/>
  <c r="AB1264" i="5"/>
  <c r="S1264" i="5"/>
  <c r="X1066" i="5"/>
  <c r="X1099" i="5"/>
  <c r="AB1185" i="5"/>
  <c r="R1197" i="5"/>
  <c r="X1197" i="5"/>
  <c r="AB1204" i="5"/>
  <c r="AB1229" i="5"/>
  <c r="AB1443" i="5"/>
  <c r="R1225" i="5"/>
  <c r="AB1296" i="5"/>
  <c r="AB1328" i="5"/>
  <c r="R1349" i="5"/>
  <c r="R1357" i="5"/>
  <c r="X1449" i="5"/>
  <c r="S1533" i="5"/>
  <c r="AB1548" i="5"/>
  <c r="S1548" i="5"/>
  <c r="F1628" i="5"/>
  <c r="X1628" i="5"/>
  <c r="AB1661" i="5"/>
  <c r="S1724" i="5"/>
  <c r="J2085" i="5"/>
  <c r="H2085" i="5"/>
  <c r="F2085" i="5"/>
  <c r="I2085" i="5"/>
  <c r="AB2113" i="5"/>
  <c r="AB1091" i="5"/>
  <c r="AB1191" i="5"/>
  <c r="AB1196" i="5"/>
  <c r="AB1236" i="5"/>
  <c r="AB1272" i="5"/>
  <c r="AB1343" i="5"/>
  <c r="R1422" i="5"/>
  <c r="R1466" i="5"/>
  <c r="S1584" i="5"/>
  <c r="AB1216" i="5"/>
  <c r="AB1268" i="5"/>
  <c r="R1297" i="5"/>
  <c r="R1365" i="5"/>
  <c r="R1379" i="5"/>
  <c r="AB1394" i="5"/>
  <c r="S1270" i="5"/>
  <c r="AB1292" i="5"/>
  <c r="S1298" i="5"/>
  <c r="AB1366" i="5"/>
  <c r="R1397" i="5"/>
  <c r="R1465" i="5"/>
  <c r="S1543" i="5"/>
  <c r="AB1543" i="5"/>
  <c r="S1572" i="5"/>
  <c r="AB1063" i="5"/>
  <c r="AB1099" i="5"/>
  <c r="X1225" i="5"/>
  <c r="AB1234" i="5"/>
  <c r="S1290" i="5"/>
  <c r="S1293" i="5"/>
  <c r="X1336" i="5"/>
  <c r="AB1356" i="5"/>
  <c r="AB1450" i="5"/>
  <c r="X1465" i="5"/>
  <c r="S1541" i="5"/>
  <c r="X1546" i="5"/>
  <c r="J1546" i="5"/>
  <c r="H1546" i="5"/>
  <c r="I1546" i="5"/>
  <c r="F1546" i="5"/>
  <c r="S1676" i="5"/>
  <c r="AB1256" i="5"/>
  <c r="AB1269" i="5"/>
  <c r="S1279" i="5"/>
  <c r="AB1285" i="5"/>
  <c r="X1356" i="5"/>
  <c r="AB1381" i="5"/>
  <c r="AB1467" i="5"/>
  <c r="X1729" i="5"/>
  <c r="H1729" i="5"/>
  <c r="F1729" i="5"/>
  <c r="I1729" i="5"/>
  <c r="AB1297" i="5"/>
  <c r="S1317" i="5"/>
  <c r="AB1324" i="5"/>
  <c r="AB1329" i="5"/>
  <c r="AB1342" i="5"/>
  <c r="AB1410" i="5"/>
  <c r="AB1426" i="5"/>
  <c r="AB1434"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AB1289" i="5"/>
  <c r="S1302" i="5"/>
  <c r="AB1316" i="5"/>
  <c r="AB1321" i="5"/>
  <c r="AB1390" i="5"/>
  <c r="AB1405" i="5"/>
  <c r="X1438" i="5"/>
  <c r="AB1449"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AB1360" i="5"/>
  <c r="X1451" i="5"/>
  <c r="AB1481"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X1840" i="5"/>
  <c r="R1840" i="5"/>
  <c r="J1840" i="5"/>
  <c r="H1840" i="5"/>
  <c r="F1840" i="5"/>
  <c r="S1237" i="5"/>
  <c r="S1297" i="5"/>
  <c r="AB1358" i="5"/>
  <c r="AB1470" i="5"/>
  <c r="AB1493" i="5"/>
  <c r="AB1499"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86" i="5"/>
  <c r="S1299" i="5"/>
  <c r="AB1336" i="5"/>
  <c r="AB1389" i="5"/>
  <c r="X1447" i="5"/>
  <c r="X1454" i="5"/>
  <c r="AB1483" i="5"/>
  <c r="AB1495" i="5"/>
  <c r="AB1505" i="5"/>
  <c r="AB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S1282" i="5"/>
  <c r="S1314" i="5"/>
  <c r="AB1361" i="5"/>
  <c r="AB1425" i="5"/>
  <c r="AB1433" i="5"/>
  <c r="AB1465" i="5"/>
  <c r="X1470" i="5"/>
  <c r="R1486" i="5"/>
  <c r="R1490" i="5"/>
  <c r="X1495" i="5"/>
  <c r="AB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65" i="5"/>
  <c r="X2372" i="5"/>
  <c r="X2380" i="5"/>
  <c r="AB2387" i="5"/>
  <c r="AB2396" i="5"/>
  <c r="S2403" i="5"/>
  <c r="AB2414" i="5"/>
  <c r="AB2425" i="5"/>
  <c r="J2433" i="5"/>
  <c r="AB2436" i="5"/>
  <c r="S2456" i="5"/>
  <c r="AB2457" i="5"/>
  <c r="S2458" i="5"/>
  <c r="I2469" i="5"/>
  <c r="S2471" i="5"/>
  <c r="AB2472" i="5"/>
  <c r="AB2504" i="5"/>
  <c r="F19" i="6"/>
  <c r="X341" i="5"/>
  <c r="X304" i="5"/>
  <c r="AB23" i="5"/>
  <c r="X28" i="5"/>
  <c r="AB115" i="5"/>
  <c r="R146" i="5"/>
  <c r="AB179" i="5"/>
  <c r="AB201" i="5"/>
  <c r="R234" i="5"/>
  <c r="X254" i="5"/>
  <c r="R254" i="5"/>
  <c r="X286" i="5"/>
  <c r="R286" i="5"/>
  <c r="AB320" i="5"/>
  <c r="AB412" i="5"/>
  <c r="AB105" i="5"/>
  <c r="R114" i="5"/>
  <c r="AB137" i="5"/>
  <c r="AB147" i="5"/>
  <c r="AB169" i="5"/>
  <c r="R178" i="5"/>
  <c r="AB240" i="5"/>
  <c r="X270" i="5"/>
  <c r="R270" i="5"/>
  <c r="R311" i="5"/>
  <c r="R5" i="5"/>
  <c r="AB20" i="5"/>
  <c r="R21" i="5"/>
  <c r="AB28" i="5"/>
  <c r="R29" i="5"/>
  <c r="AB34" i="5"/>
  <c r="AB38" i="5"/>
  <c r="AB42" i="5"/>
  <c r="AB46" i="5"/>
  <c r="AB50" i="5"/>
  <c r="AB54" i="5"/>
  <c r="AB58" i="5"/>
  <c r="AB62" i="5"/>
  <c r="AB66" i="5"/>
  <c r="AB70" i="5"/>
  <c r="AB74" i="5"/>
  <c r="AB78" i="5"/>
  <c r="AB82" i="5"/>
  <c r="AB86" i="5"/>
  <c r="AB90" i="5"/>
  <c r="AB94" i="5"/>
  <c r="AB98" i="5"/>
  <c r="AB104" i="5"/>
  <c r="AB117" i="5"/>
  <c r="X125" i="5"/>
  <c r="R126" i="5"/>
  <c r="AB127" i="5"/>
  <c r="AB136" i="5"/>
  <c r="AB149" i="5"/>
  <c r="X157" i="5"/>
  <c r="R158" i="5"/>
  <c r="AB159" i="5"/>
  <c r="AB168" i="5"/>
  <c r="X178" i="5"/>
  <c r="AB181" i="5"/>
  <c r="R190" i="5"/>
  <c r="AB191" i="5"/>
  <c r="AB200" i="5"/>
  <c r="R218" i="5"/>
  <c r="AB220" i="5"/>
  <c r="X238" i="5"/>
  <c r="R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R138" i="5"/>
  <c r="AB139" i="5"/>
  <c r="AB148" i="5"/>
  <c r="AB161" i="5"/>
  <c r="R170" i="5"/>
  <c r="AB171" i="5"/>
  <c r="AB180" i="5"/>
  <c r="AB193" i="5"/>
  <c r="R202" i="5"/>
  <c r="AB203" i="5"/>
  <c r="AB209" i="5"/>
  <c r="R210" i="5"/>
  <c r="R221" i="5"/>
  <c r="R242" i="5"/>
  <c r="X258" i="5"/>
  <c r="R258" i="5"/>
  <c r="X274" i="5"/>
  <c r="R274" i="5"/>
  <c r="R323" i="5"/>
  <c r="AB360" i="5"/>
  <c r="X371" i="5"/>
  <c r="R371" i="5"/>
  <c r="R383" i="5"/>
  <c r="AB119" i="5"/>
  <c r="AB151" i="5"/>
  <c r="AB173" i="5"/>
  <c r="X181" i="5"/>
  <c r="R182" i="5"/>
  <c r="AB183" i="5"/>
  <c r="AB205" i="5"/>
  <c r="AB212" i="5"/>
  <c r="AB248" i="5"/>
  <c r="AB264" i="5"/>
  <c r="AB280" i="5"/>
  <c r="AB296" i="5"/>
  <c r="R319" i="5"/>
  <c r="AB328" i="5"/>
  <c r="X351" i="5"/>
  <c r="R351" i="5"/>
  <c r="AB358" i="5"/>
  <c r="R118" i="5"/>
  <c r="X5" i="5"/>
  <c r="AB121" i="5"/>
  <c r="R130" i="5"/>
  <c r="AB131" i="5"/>
  <c r="AB153" i="5"/>
  <c r="R162" i="5"/>
  <c r="AB163" i="5"/>
  <c r="AB185" i="5"/>
  <c r="AB195" i="5"/>
  <c r="R206" i="5"/>
  <c r="X209" i="5"/>
  <c r="R213" i="5"/>
  <c r="X222" i="5"/>
  <c r="R222" i="5"/>
  <c r="AB224" i="5"/>
  <c r="R246" i="5"/>
  <c r="R278" i="5"/>
  <c r="X294" i="5"/>
  <c r="R294" i="5"/>
  <c r="R307" i="5"/>
  <c r="X307" i="5"/>
  <c r="AB408" i="5"/>
  <c r="AB109" i="5"/>
  <c r="X117" i="5"/>
  <c r="AB141" i="5"/>
  <c r="R150" i="5"/>
  <c r="AB19" i="5"/>
  <c r="AB27" i="5"/>
  <c r="X29" i="5"/>
  <c r="X24" i="5"/>
  <c r="R28" i="5"/>
  <c r="X32" i="5"/>
  <c r="AB36" i="5"/>
  <c r="AB40" i="5"/>
  <c r="AB44" i="5"/>
  <c r="AB48" i="5"/>
  <c r="AB52" i="5"/>
  <c r="AB56" i="5"/>
  <c r="AB60" i="5"/>
  <c r="AB64" i="5"/>
  <c r="AB68" i="5"/>
  <c r="AB72" i="5"/>
  <c r="AB76" i="5"/>
  <c r="AB80" i="5"/>
  <c r="AB84" i="5"/>
  <c r="AB88" i="5"/>
  <c r="AB92" i="5"/>
  <c r="AB96" i="5"/>
  <c r="AB100" i="5"/>
  <c r="AB101" i="5"/>
  <c r="X109" i="5"/>
  <c r="R110" i="5"/>
  <c r="AB111" i="5"/>
  <c r="AB120" i="5"/>
  <c r="AB133" i="5"/>
  <c r="X141" i="5"/>
  <c r="R142" i="5"/>
  <c r="AB143" i="5"/>
  <c r="AB152" i="5"/>
  <c r="AB165" i="5"/>
  <c r="X173" i="5"/>
  <c r="R174" i="5"/>
  <c r="AB175" i="5"/>
  <c r="AB184" i="5"/>
  <c r="AB197" i="5"/>
  <c r="X205" i="5"/>
  <c r="AB208" i="5"/>
  <c r="AB228" i="5"/>
  <c r="AB252" i="5"/>
  <c r="AB268" i="5"/>
  <c r="AB284" i="5"/>
  <c r="AB300" i="5"/>
  <c r="AB303" i="5"/>
  <c r="AB312" i="5"/>
  <c r="R331" i="5"/>
  <c r="X384" i="5"/>
  <c r="R384" i="5"/>
  <c r="AB402" i="5"/>
  <c r="AB31" i="5"/>
  <c r="AB25" i="5"/>
  <c r="AB37" i="5"/>
  <c r="AB45" i="5"/>
  <c r="AB53" i="5"/>
  <c r="AB57" i="5"/>
  <c r="AB61" i="5"/>
  <c r="AB65" i="5"/>
  <c r="AB69" i="5"/>
  <c r="AB73" i="5"/>
  <c r="AB81" i="5"/>
  <c r="AB89" i="5"/>
  <c r="AB113" i="5"/>
  <c r="R117" i="5"/>
  <c r="AB123" i="5"/>
  <c r="AB145" i="5"/>
  <c r="R149" i="5"/>
  <c r="X153" i="5"/>
  <c r="R154" i="5"/>
  <c r="AB155" i="5"/>
  <c r="AB177" i="5"/>
  <c r="R181" i="5"/>
  <c r="X185" i="5"/>
  <c r="R186" i="5"/>
  <c r="AB187" i="5"/>
  <c r="R209" i="5"/>
  <c r="R214" i="5"/>
  <c r="AB216" i="5"/>
  <c r="R226" i="5"/>
  <c r="AB232" i="5"/>
  <c r="R250" i="5"/>
  <c r="X266" i="5"/>
  <c r="R266" i="5"/>
  <c r="R282" i="5"/>
  <c r="X298" i="5"/>
  <c r="R298" i="5"/>
  <c r="R327" i="5"/>
  <c r="X352" i="5"/>
  <c r="R352" i="5"/>
  <c r="AB361" i="5"/>
  <c r="X470" i="5"/>
  <c r="R470" i="5"/>
  <c r="X494" i="5"/>
  <c r="R494" i="5"/>
  <c r="AB33" i="5"/>
  <c r="AB41" i="5"/>
  <c r="AB49" i="5"/>
  <c r="AB77" i="5"/>
  <c r="AB85" i="5"/>
  <c r="AB93" i="5"/>
  <c r="AB97" i="5"/>
  <c r="R122" i="5"/>
  <c r="R18" i="5"/>
  <c r="R23" i="5"/>
  <c r="R26" i="5"/>
  <c r="X30" i="5"/>
  <c r="R31" i="5"/>
  <c r="X36" i="5"/>
  <c r="X40" i="5"/>
  <c r="X52" i="5"/>
  <c r="X56" i="5"/>
  <c r="X60" i="5"/>
  <c r="X64" i="5"/>
  <c r="X68" i="5"/>
  <c r="X72" i="5"/>
  <c r="X80" i="5"/>
  <c r="X84" i="5"/>
  <c r="X88" i="5"/>
  <c r="X101" i="5"/>
  <c r="R102" i="5"/>
  <c r="AB103" i="5"/>
  <c r="AB112" i="5"/>
  <c r="AB125" i="5"/>
  <c r="R129" i="5"/>
  <c r="X133" i="5"/>
  <c r="R134" i="5"/>
  <c r="AB135" i="5"/>
  <c r="AB144" i="5"/>
  <c r="AB157" i="5"/>
  <c r="R161" i="5"/>
  <c r="R166" i="5"/>
  <c r="AB167" i="5"/>
  <c r="AB176" i="5"/>
  <c r="AB189" i="5"/>
  <c r="R193" i="5"/>
  <c r="X197" i="5"/>
  <c r="R198" i="5"/>
  <c r="AB199" i="5"/>
  <c r="R217" i="5"/>
  <c r="R230" i="5"/>
  <c r="AB236" i="5"/>
  <c r="AB256" i="5"/>
  <c r="AB272" i="5"/>
  <c r="AB288" i="5"/>
  <c r="R315" i="5"/>
  <c r="R335" i="5"/>
  <c r="X332" i="5"/>
  <c r="AB336" i="5"/>
  <c r="X343" i="5"/>
  <c r="R343" i="5"/>
  <c r="X344" i="5"/>
  <c r="AB350" i="5"/>
  <c r="AB373" i="5"/>
  <c r="AB382" i="5"/>
  <c r="AB385" i="5"/>
  <c r="R471" i="5"/>
  <c r="X471" i="5"/>
  <c r="R499" i="5"/>
  <c r="X499" i="5"/>
  <c r="R531" i="5"/>
  <c r="X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R302" i="5"/>
  <c r="R304" i="5"/>
  <c r="AB310" i="5"/>
  <c r="AB318" i="5"/>
  <c r="AB326" i="5"/>
  <c r="AB332" i="5"/>
  <c r="AB343" i="5"/>
  <c r="AB353" i="5"/>
  <c r="AB362" i="5"/>
  <c r="AB375" i="5"/>
  <c r="AB389" i="5"/>
  <c r="R459" i="5"/>
  <c r="X459" i="5"/>
  <c r="AB305" i="5"/>
  <c r="AB313" i="5"/>
  <c r="AB321" i="5"/>
  <c r="AB329" i="5"/>
  <c r="AB342" i="5"/>
  <c r="X368" i="5"/>
  <c r="AB374" i="5"/>
  <c r="AB386" i="5"/>
  <c r="AB393" i="5"/>
  <c r="X399" i="5"/>
  <c r="R399" i="5"/>
  <c r="X464" i="5"/>
  <c r="R464" i="5"/>
  <c r="X478" i="5"/>
  <c r="R478" i="5"/>
  <c r="AB333" i="5"/>
  <c r="AB345" i="5"/>
  <c r="R347" i="5"/>
  <c r="X348" i="5"/>
  <c r="AB354" i="5"/>
  <c r="AB367" i="5"/>
  <c r="AB377" i="5"/>
  <c r="X379" i="5"/>
  <c r="X380" i="5"/>
  <c r="AB390" i="5"/>
  <c r="AB397" i="5"/>
  <c r="R483" i="5"/>
  <c r="X510" i="5"/>
  <c r="R510" i="5"/>
  <c r="R542" i="5"/>
  <c r="R338" i="5"/>
  <c r="AB338" i="5"/>
  <c r="AB366" i="5"/>
  <c r="AB394" i="5"/>
  <c r="AB401" i="5"/>
  <c r="AB416" i="5"/>
  <c r="R515" i="5"/>
  <c r="X515" i="5"/>
  <c r="R310" i="5"/>
  <c r="R318" i="5"/>
  <c r="R326" i="5"/>
  <c r="AB334" i="5"/>
  <c r="AB339" i="5"/>
  <c r="AB346" i="5"/>
  <c r="AB359" i="5"/>
  <c r="AB369" i="5"/>
  <c r="X372" i="5"/>
  <c r="AB378" i="5"/>
  <c r="AB398" i="5"/>
  <c r="AB405" i="5"/>
  <c r="AB409" i="5"/>
  <c r="R344" i="5"/>
  <c r="AB351" i="5"/>
  <c r="AB352" i="5"/>
  <c r="R363" i="5"/>
  <c r="X364" i="5"/>
  <c r="AB370" i="5"/>
  <c r="R387" i="5"/>
  <c r="AB406" i="5"/>
  <c r="X526" i="5"/>
  <c r="R526" i="5"/>
  <c r="AB466" i="5"/>
  <c r="AB474" i="5"/>
  <c r="X487" i="5"/>
  <c r="X519" i="5"/>
  <c r="R547" i="5"/>
  <c r="AB553" i="5"/>
  <c r="AB572" i="5"/>
  <c r="AB582" i="5"/>
  <c r="AB585" i="5"/>
  <c r="AB596" i="5"/>
  <c r="AB597" i="5"/>
  <c r="R706" i="5"/>
  <c r="X706" i="5"/>
  <c r="AB478" i="5"/>
  <c r="AB483" i="5"/>
  <c r="X484" i="5"/>
  <c r="AB494" i="5"/>
  <c r="AB499" i="5"/>
  <c r="X500" i="5"/>
  <c r="AB510" i="5"/>
  <c r="AB515" i="5"/>
  <c r="X516" i="5"/>
  <c r="AB526" i="5"/>
  <c r="AB531" i="5"/>
  <c r="X532" i="5"/>
  <c r="AB542" i="5"/>
  <c r="AB558" i="5"/>
  <c r="R559" i="5"/>
  <c r="X566" i="5"/>
  <c r="AB570" i="5"/>
  <c r="AB573" i="5"/>
  <c r="R479" i="5"/>
  <c r="R495" i="5"/>
  <c r="R511" i="5"/>
  <c r="R527" i="5"/>
  <c r="R543" i="5"/>
  <c r="AB580" i="5"/>
  <c r="X586" i="5"/>
  <c r="R443" i="5"/>
  <c r="R451" i="5"/>
  <c r="R455" i="5"/>
  <c r="AB479" i="5"/>
  <c r="X480" i="5"/>
  <c r="AB484" i="5"/>
  <c r="AB490" i="5"/>
  <c r="AB495" i="5"/>
  <c r="AB500" i="5"/>
  <c r="AB506" i="5"/>
  <c r="AB511" i="5"/>
  <c r="X512" i="5"/>
  <c r="AB516" i="5"/>
  <c r="AB522" i="5"/>
  <c r="AB527" i="5"/>
  <c r="X528" i="5"/>
  <c r="AB532" i="5"/>
  <c r="AB538" i="5"/>
  <c r="AB543" i="5"/>
  <c r="X544" i="5"/>
  <c r="AB548" i="5"/>
  <c r="AB550" i="5"/>
  <c r="R551" i="5"/>
  <c r="AB557" i="5"/>
  <c r="AB568" i="5"/>
  <c r="AB578" i="5"/>
  <c r="AB581" i="5"/>
  <c r="R682" i="5"/>
  <c r="X682" i="5"/>
  <c r="R491" i="5"/>
  <c r="R507" i="5"/>
  <c r="R523" i="5"/>
  <c r="R539" i="5"/>
  <c r="AB562" i="5"/>
  <c r="R563" i="5"/>
  <c r="AB566" i="5"/>
  <c r="AB569" i="5"/>
  <c r="AB588" i="5"/>
  <c r="R686" i="5"/>
  <c r="X686" i="5"/>
  <c r="AB464" i="5"/>
  <c r="AB475" i="5"/>
  <c r="X476" i="5"/>
  <c r="AB480" i="5"/>
  <c r="AB486" i="5"/>
  <c r="AB491" i="5"/>
  <c r="X492" i="5"/>
  <c r="AB496" i="5"/>
  <c r="AB502" i="5"/>
  <c r="AB507" i="5"/>
  <c r="X508" i="5"/>
  <c r="AB512" i="5"/>
  <c r="AB518" i="5"/>
  <c r="AB523" i="5"/>
  <c r="AB528" i="5"/>
  <c r="AB534" i="5"/>
  <c r="AB539" i="5"/>
  <c r="X540" i="5"/>
  <c r="AB544" i="5"/>
  <c r="AB549" i="5"/>
  <c r="AB576" i="5"/>
  <c r="X582" i="5"/>
  <c r="AB586" i="5"/>
  <c r="AB589" i="5"/>
  <c r="R690" i="5"/>
  <c r="X690" i="5"/>
  <c r="R468" i="5"/>
  <c r="R487" i="5"/>
  <c r="R503" i="5"/>
  <c r="R519" i="5"/>
  <c r="R535" i="5"/>
  <c r="AB554" i="5"/>
  <c r="R555" i="5"/>
  <c r="AB561" i="5"/>
  <c r="AB564" i="5"/>
  <c r="X570" i="5"/>
  <c r="AB574" i="5"/>
  <c r="AB577" i="5"/>
  <c r="R590" i="5"/>
  <c r="X590" i="5"/>
  <c r="R698" i="5"/>
  <c r="X698" i="5"/>
  <c r="AB465" i="5"/>
  <c r="AB476" i="5"/>
  <c r="AB482" i="5"/>
  <c r="AB487" i="5"/>
  <c r="AB492" i="5"/>
  <c r="AB498" i="5"/>
  <c r="AB503" i="5"/>
  <c r="AB508" i="5"/>
  <c r="AB514" i="5"/>
  <c r="AB519" i="5"/>
  <c r="AB524" i="5"/>
  <c r="AB530" i="5"/>
  <c r="AB535" i="5"/>
  <c r="X536" i="5"/>
  <c r="AB540" i="5"/>
  <c r="AB546" i="5"/>
  <c r="AB565" i="5"/>
  <c r="AB584" i="5"/>
  <c r="AB592" i="5"/>
  <c r="AB593" i="5"/>
  <c r="R594" i="5"/>
  <c r="X594" i="5"/>
  <c r="R702" i="5"/>
  <c r="X702" i="5"/>
  <c r="AB600" i="5"/>
  <c r="AB604" i="5"/>
  <c r="AB608" i="5"/>
  <c r="AB612" i="5"/>
  <c r="AB616" i="5"/>
  <c r="AB620" i="5"/>
  <c r="AB624" i="5"/>
  <c r="AB628" i="5"/>
  <c r="AB632" i="5"/>
  <c r="AB636" i="5"/>
  <c r="AB640" i="5"/>
  <c r="AB644" i="5"/>
  <c r="AB648" i="5"/>
  <c r="AB652" i="5"/>
  <c r="AB656" i="5"/>
  <c r="AB660" i="5"/>
  <c r="AB664" i="5"/>
  <c r="AB668" i="5"/>
  <c r="AB672" i="5"/>
  <c r="S674" i="5"/>
  <c r="AB676" i="5"/>
  <c r="X685" i="5"/>
  <c r="AB691" i="5"/>
  <c r="X701" i="5"/>
  <c r="X707" i="5"/>
  <c r="AB711" i="5"/>
  <c r="X722" i="5"/>
  <c r="X723" i="5"/>
  <c r="R726" i="5"/>
  <c r="AB727" i="5"/>
  <c r="R728" i="5"/>
  <c r="X739" i="5"/>
  <c r="R742" i="5"/>
  <c r="AB743" i="5"/>
  <c r="R744" i="5"/>
  <c r="AB759" i="5"/>
  <c r="X765" i="5"/>
  <c r="X771" i="5"/>
  <c r="X781" i="5"/>
  <c r="X787" i="5"/>
  <c r="X815" i="5"/>
  <c r="R815" i="5"/>
  <c r="X850" i="5"/>
  <c r="R850" i="5"/>
  <c r="X598" i="5"/>
  <c r="X606" i="5"/>
  <c r="X610" i="5"/>
  <c r="X614" i="5"/>
  <c r="X618" i="5"/>
  <c r="X622" i="5"/>
  <c r="X626" i="5"/>
  <c r="X630" i="5"/>
  <c r="X638" i="5"/>
  <c r="X642" i="5"/>
  <c r="X646" i="5"/>
  <c r="AB681" i="5"/>
  <c r="AB686" i="5"/>
  <c r="AB697" i="5"/>
  <c r="AB702" i="5"/>
  <c r="X708" i="5"/>
  <c r="X709" i="5"/>
  <c r="AB713" i="5"/>
  <c r="X724" i="5"/>
  <c r="X725" i="5"/>
  <c r="AB729" i="5"/>
  <c r="X740" i="5"/>
  <c r="X741" i="5"/>
  <c r="AB745" i="5"/>
  <c r="X759" i="5"/>
  <c r="AB769" i="5"/>
  <c r="AB775" i="5"/>
  <c r="AB785" i="5"/>
  <c r="AB791" i="5"/>
  <c r="R803" i="5"/>
  <c r="X803" i="5"/>
  <c r="X827" i="5"/>
  <c r="R827" i="5"/>
  <c r="S669" i="5"/>
  <c r="S673" i="5"/>
  <c r="X681" i="5"/>
  <c r="X683" i="5"/>
  <c r="AB687" i="5"/>
  <c r="X697" i="5"/>
  <c r="X699" i="5"/>
  <c r="AB703" i="5"/>
  <c r="X711" i="5"/>
  <c r="R714" i="5"/>
  <c r="AB715" i="5"/>
  <c r="R716" i="5"/>
  <c r="X727" i="5"/>
  <c r="AB731" i="5"/>
  <c r="R732" i="5"/>
  <c r="X743" i="5"/>
  <c r="X744" i="5"/>
  <c r="AB747" i="5"/>
  <c r="R748" i="5"/>
  <c r="X769" i="5"/>
  <c r="X785" i="5"/>
  <c r="X791" i="5"/>
  <c r="AB682" i="5"/>
  <c r="AB693" i="5"/>
  <c r="AB698" i="5"/>
  <c r="X713" i="5"/>
  <c r="X729" i="5"/>
  <c r="X745" i="5"/>
  <c r="AB755" i="5"/>
  <c r="AB763" i="5"/>
  <c r="AB773" i="5"/>
  <c r="AB779" i="5"/>
  <c r="AB789" i="5"/>
  <c r="R795" i="5"/>
  <c r="X795" i="5"/>
  <c r="S668" i="5"/>
  <c r="AB683" i="5"/>
  <c r="X693" i="5"/>
  <c r="R694" i="5"/>
  <c r="AB699" i="5"/>
  <c r="R709" i="5"/>
  <c r="X714" i="5"/>
  <c r="X715" i="5"/>
  <c r="AB719" i="5"/>
  <c r="R725" i="5"/>
  <c r="X731" i="5"/>
  <c r="R734" i="5"/>
  <c r="AB735" i="5"/>
  <c r="R736" i="5"/>
  <c r="X746" i="5"/>
  <c r="X747" i="5"/>
  <c r="X753" i="5"/>
  <c r="X755" i="5"/>
  <c r="X763" i="5"/>
  <c r="R769" i="5"/>
  <c r="X773" i="5"/>
  <c r="X779" i="5"/>
  <c r="R785" i="5"/>
  <c r="X789" i="5"/>
  <c r="R791" i="5"/>
  <c r="AB801" i="5"/>
  <c r="X805" i="5"/>
  <c r="R805" i="5"/>
  <c r="X834" i="5"/>
  <c r="R834" i="5"/>
  <c r="X688" i="5"/>
  <c r="AB689" i="5"/>
  <c r="AB694" i="5"/>
  <c r="X704" i="5"/>
  <c r="AB705" i="5"/>
  <c r="R711" i="5"/>
  <c r="X716" i="5"/>
  <c r="AB721" i="5"/>
  <c r="R727" i="5"/>
  <c r="X732" i="5"/>
  <c r="X733" i="5"/>
  <c r="AB737" i="5"/>
  <c r="R743" i="5"/>
  <c r="X748" i="5"/>
  <c r="AB751" i="5"/>
  <c r="AB761" i="5"/>
  <c r="AB767" i="5"/>
  <c r="AB777" i="5"/>
  <c r="AB783" i="5"/>
  <c r="AB793" i="5"/>
  <c r="AB797" i="5"/>
  <c r="X801" i="5"/>
  <c r="R681" i="5"/>
  <c r="X689" i="5"/>
  <c r="X691" i="5"/>
  <c r="X705" i="5"/>
  <c r="AB707" i="5"/>
  <c r="R708" i="5"/>
  <c r="R713" i="5"/>
  <c r="X719" i="5"/>
  <c r="R722" i="5"/>
  <c r="AB723" i="5"/>
  <c r="R724" i="5"/>
  <c r="R729" i="5"/>
  <c r="X735" i="5"/>
  <c r="AB739" i="5"/>
  <c r="R740" i="5"/>
  <c r="R745" i="5"/>
  <c r="X751" i="5"/>
  <c r="X761" i="5"/>
  <c r="X777" i="5"/>
  <c r="X793" i="5"/>
  <c r="X797" i="5"/>
  <c r="X806" i="5"/>
  <c r="R806" i="5"/>
  <c r="X842" i="5"/>
  <c r="R842" i="5"/>
  <c r="AB685" i="5"/>
  <c r="AB690" i="5"/>
  <c r="AB701" i="5"/>
  <c r="AB706" i="5"/>
  <c r="X721" i="5"/>
  <c r="X737" i="5"/>
  <c r="R756" i="5"/>
  <c r="AB765" i="5"/>
  <c r="AB771" i="5"/>
  <c r="AB781" i="5"/>
  <c r="AB787" i="5"/>
  <c r="X822" i="5"/>
  <c r="R822" i="5"/>
  <c r="X919" i="5"/>
  <c r="R919" i="5"/>
  <c r="R758" i="5"/>
  <c r="R770" i="5"/>
  <c r="R778" i="5"/>
  <c r="R782" i="5"/>
  <c r="R786" i="5"/>
  <c r="R790" i="5"/>
  <c r="R798" i="5"/>
  <c r="R802" i="5"/>
  <c r="X816" i="5"/>
  <c r="AB830" i="5"/>
  <c r="AB860" i="5"/>
  <c r="AB861" i="5"/>
  <c r="AB864" i="5"/>
  <c r="X889" i="5"/>
  <c r="R889" i="5"/>
  <c r="X981" i="5"/>
  <c r="R981" i="5"/>
  <c r="X1053" i="5"/>
  <c r="R1053" i="5"/>
  <c r="AB1093" i="5"/>
  <c r="AB756" i="5"/>
  <c r="AB760" i="5"/>
  <c r="AB764" i="5"/>
  <c r="AB768" i="5"/>
  <c r="AB772" i="5"/>
  <c r="AB776" i="5"/>
  <c r="AB780" i="5"/>
  <c r="AB784" i="5"/>
  <c r="AB788" i="5"/>
  <c r="AB792" i="5"/>
  <c r="AB796" i="5"/>
  <c r="AB800" i="5"/>
  <c r="AB804" i="5"/>
  <c r="R813" i="5"/>
  <c r="AB817" i="5"/>
  <c r="R835" i="5"/>
  <c r="X835" i="5"/>
  <c r="R843" i="5"/>
  <c r="X843" i="5"/>
  <c r="X844" i="5"/>
  <c r="R844" i="5"/>
  <c r="X851" i="5"/>
  <c r="AB868" i="5"/>
  <c r="AB876" i="5"/>
  <c r="AB877" i="5"/>
  <c r="AB880" i="5"/>
  <c r="X899" i="5"/>
  <c r="R899" i="5"/>
  <c r="X909" i="5"/>
  <c r="R909" i="5"/>
  <c r="AB924" i="5"/>
  <c r="AB953" i="5"/>
  <c r="R994" i="5"/>
  <c r="X994" i="5"/>
  <c r="AB1045" i="5"/>
  <c r="X819" i="5"/>
  <c r="AB884" i="5"/>
  <c r="AB892" i="5"/>
  <c r="R906" i="5"/>
  <c r="X906" i="5"/>
  <c r="X921" i="5"/>
  <c r="R921" i="5"/>
  <c r="X929" i="5"/>
  <c r="R929" i="5"/>
  <c r="AB989" i="5"/>
  <c r="X1085" i="5"/>
  <c r="R1085" i="5"/>
  <c r="AB795" i="5"/>
  <c r="AB799" i="5"/>
  <c r="AB803" i="5"/>
  <c r="S805" i="5"/>
  <c r="R807" i="5"/>
  <c r="AB811" i="5"/>
  <c r="AB814" i="5"/>
  <c r="AB819" i="5"/>
  <c r="R820" i="5"/>
  <c r="X856" i="5"/>
  <c r="R856" i="5"/>
  <c r="X860" i="5"/>
  <c r="R860" i="5"/>
  <c r="X864" i="5"/>
  <c r="R864" i="5"/>
  <c r="AB896" i="5"/>
  <c r="S897" i="5"/>
  <c r="X904" i="5"/>
  <c r="R904" i="5"/>
  <c r="AB912" i="5"/>
  <c r="X924" i="5"/>
  <c r="R924" i="5"/>
  <c r="X937" i="5"/>
  <c r="R937" i="5"/>
  <c r="X945" i="5"/>
  <c r="R945" i="5"/>
  <c r="R962" i="5"/>
  <c r="X962" i="5"/>
  <c r="AB970" i="5"/>
  <c r="X993" i="5"/>
  <c r="R993" i="5"/>
  <c r="X1037" i="5"/>
  <c r="R1037" i="5"/>
  <c r="AB1077" i="5"/>
  <c r="R824" i="5"/>
  <c r="X855" i="5"/>
  <c r="R855" i="5"/>
  <c r="X876" i="5"/>
  <c r="R876" i="5"/>
  <c r="X880" i="5"/>
  <c r="R880" i="5"/>
  <c r="AB980" i="5"/>
  <c r="R1030" i="5"/>
  <c r="X1030" i="5"/>
  <c r="X1117" i="5"/>
  <c r="R1117" i="5"/>
  <c r="R1177" i="5"/>
  <c r="X1177" i="5"/>
  <c r="R809" i="5"/>
  <c r="AB815" i="5"/>
  <c r="AB821" i="5"/>
  <c r="X826" i="5"/>
  <c r="R826" i="5"/>
  <c r="AB827" i="5"/>
  <c r="R828" i="5"/>
  <c r="X831" i="5"/>
  <c r="X832" i="5"/>
  <c r="R832" i="5"/>
  <c r="X840" i="5"/>
  <c r="R840" i="5"/>
  <c r="X848" i="5"/>
  <c r="R848" i="5"/>
  <c r="AB855" i="5"/>
  <c r="X861" i="5"/>
  <c r="R861" i="5"/>
  <c r="AB897" i="5"/>
  <c r="AB908" i="5"/>
  <c r="AB918" i="5"/>
  <c r="X925" i="5"/>
  <c r="R925" i="5"/>
  <c r="X961" i="5"/>
  <c r="R961" i="5"/>
  <c r="AB1029" i="5"/>
  <c r="S1029" i="5"/>
  <c r="X1069" i="5"/>
  <c r="R1069" i="5"/>
  <c r="AB1109" i="5"/>
  <c r="X821" i="5"/>
  <c r="R821" i="5"/>
  <c r="X830" i="5"/>
  <c r="R830" i="5"/>
  <c r="X857" i="5"/>
  <c r="R857" i="5"/>
  <c r="AB859" i="5"/>
  <c r="AB863" i="5"/>
  <c r="AB871" i="5"/>
  <c r="X877" i="5"/>
  <c r="R877" i="5"/>
  <c r="X887" i="5"/>
  <c r="R887" i="5"/>
  <c r="X896" i="5"/>
  <c r="R896" i="5"/>
  <c r="X905" i="5"/>
  <c r="R905" i="5"/>
  <c r="R922" i="5"/>
  <c r="X922" i="5"/>
  <c r="AB928" i="5"/>
  <c r="X949" i="5"/>
  <c r="R949" i="5"/>
  <c r="X965" i="5"/>
  <c r="R965" i="5"/>
  <c r="AB969" i="5"/>
  <c r="AB1061" i="5"/>
  <c r="AB810" i="5"/>
  <c r="X810" i="5"/>
  <c r="AB816" i="5"/>
  <c r="X825" i="5"/>
  <c r="R825" i="5"/>
  <c r="X838" i="5"/>
  <c r="R838" i="5"/>
  <c r="X846" i="5"/>
  <c r="R846" i="5"/>
  <c r="X873" i="5"/>
  <c r="R873" i="5"/>
  <c r="X893" i="5"/>
  <c r="R893" i="5"/>
  <c r="X908" i="5"/>
  <c r="R908" i="5"/>
  <c r="X920" i="5"/>
  <c r="R920" i="5"/>
  <c r="X936" i="5"/>
  <c r="R936" i="5"/>
  <c r="X963" i="5"/>
  <c r="R963" i="5"/>
  <c r="X1101" i="5"/>
  <c r="R1101" i="5"/>
  <c r="X865" i="5"/>
  <c r="X881" i="5"/>
  <c r="X897" i="5"/>
  <c r="X913" i="5"/>
  <c r="AB934" i="5"/>
  <c r="X951" i="5"/>
  <c r="R951" i="5"/>
  <c r="X975" i="5"/>
  <c r="R975" i="5"/>
  <c r="AB997" i="5"/>
  <c r="X1014" i="5"/>
  <c r="AB1125" i="5"/>
  <c r="AB1153" i="5"/>
  <c r="AB1355" i="5"/>
  <c r="R938" i="5"/>
  <c r="X940" i="5"/>
  <c r="R940" i="5"/>
  <c r="X941" i="5"/>
  <c r="R986" i="5"/>
  <c r="X986" i="5"/>
  <c r="R998" i="5"/>
  <c r="AB1004" i="5"/>
  <c r="AB1013" i="5"/>
  <c r="AB1020" i="5"/>
  <c r="R1026" i="5"/>
  <c r="X1026" i="5"/>
  <c r="R1122" i="5"/>
  <c r="X1122" i="5"/>
  <c r="AB1143" i="5"/>
  <c r="S1143" i="5"/>
  <c r="AB1144" i="5"/>
  <c r="AB1456" i="5"/>
  <c r="AB965" i="5"/>
  <c r="AB976" i="5"/>
  <c r="R1010" i="5"/>
  <c r="X1010" i="5"/>
  <c r="X1029" i="5"/>
  <c r="R1029" i="5"/>
  <c r="R1042" i="5"/>
  <c r="X1042" i="5"/>
  <c r="R1058" i="5"/>
  <c r="X1058" i="5"/>
  <c r="R1090" i="5"/>
  <c r="X1090" i="5"/>
  <c r="R1106" i="5"/>
  <c r="X1106" i="5"/>
  <c r="X1156" i="5"/>
  <c r="R1156" i="5"/>
  <c r="X1163" i="5"/>
  <c r="R1163" i="5"/>
  <c r="AB1183" i="5"/>
  <c r="R862" i="5"/>
  <c r="R878" i="5"/>
  <c r="R894" i="5"/>
  <c r="R910" i="5"/>
  <c r="R926" i="5"/>
  <c r="X939" i="5"/>
  <c r="R939" i="5"/>
  <c r="X943" i="5"/>
  <c r="R943" i="5"/>
  <c r="X957" i="5"/>
  <c r="R957" i="5"/>
  <c r="X959" i="5"/>
  <c r="R959" i="5"/>
  <c r="R978" i="5"/>
  <c r="X978" i="5"/>
  <c r="X997" i="5"/>
  <c r="AB1005" i="5"/>
  <c r="X1009" i="5"/>
  <c r="R1014" i="5"/>
  <c r="AB1021" i="5"/>
  <c r="X1025" i="5"/>
  <c r="AB1188" i="5"/>
  <c r="R1212" i="5"/>
  <c r="X1212" i="5"/>
  <c r="AB1266" i="5"/>
  <c r="AB857" i="5"/>
  <c r="AB862" i="5"/>
  <c r="AB873" i="5"/>
  <c r="AB878" i="5"/>
  <c r="AB889" i="5"/>
  <c r="AB894" i="5"/>
  <c r="AB905" i="5"/>
  <c r="AB910" i="5"/>
  <c r="AB921" i="5"/>
  <c r="X926" i="5"/>
  <c r="AB926" i="5"/>
  <c r="AB961" i="5"/>
  <c r="AB981" i="5"/>
  <c r="AB996" i="5"/>
  <c r="R1002" i="5"/>
  <c r="X1002" i="5"/>
  <c r="X1121" i="5"/>
  <c r="R1121" i="5"/>
  <c r="R1135" i="5"/>
  <c r="X1135" i="5"/>
  <c r="R1172" i="5"/>
  <c r="X1172" i="5"/>
  <c r="AB1180" i="5"/>
  <c r="X1220" i="5"/>
  <c r="R1220" i="5"/>
  <c r="X1227" i="5"/>
  <c r="R1227" i="5"/>
  <c r="X1240" i="5"/>
  <c r="R1240" i="5"/>
  <c r="AB1262" i="5"/>
  <c r="R1513" i="5"/>
  <c r="J1513" i="5"/>
  <c r="H1513" i="5"/>
  <c r="I1513" i="5"/>
  <c r="F1513" i="5"/>
  <c r="X1513" i="5"/>
  <c r="X885" i="5"/>
  <c r="X901" i="5"/>
  <c r="X917" i="5"/>
  <c r="X933" i="5"/>
  <c r="X953" i="5"/>
  <c r="R954" i="5"/>
  <c r="X955" i="5"/>
  <c r="R955" i="5"/>
  <c r="X998" i="5"/>
  <c r="X1001" i="5"/>
  <c r="R1001" i="5"/>
  <c r="X1013" i="5"/>
  <c r="AB1036" i="5"/>
  <c r="X1041" i="5"/>
  <c r="R1041" i="5"/>
  <c r="AB1052" i="5"/>
  <c r="X1057" i="5"/>
  <c r="R1057" i="5"/>
  <c r="AB1068" i="5"/>
  <c r="X1073" i="5"/>
  <c r="R1073" i="5"/>
  <c r="AB1084" i="5"/>
  <c r="X1089" i="5"/>
  <c r="R1089" i="5"/>
  <c r="AB1100" i="5"/>
  <c r="X1105" i="5"/>
  <c r="R1105" i="5"/>
  <c r="AB1116" i="5"/>
  <c r="AB1136" i="5"/>
  <c r="R1199" i="5"/>
  <c r="X1199" i="5"/>
  <c r="AB1258" i="5"/>
  <c r="AB1418" i="5"/>
  <c r="AB901" i="5"/>
  <c r="AB906" i="5"/>
  <c r="AB917" i="5"/>
  <c r="AB922" i="5"/>
  <c r="R934" i="5"/>
  <c r="X935" i="5"/>
  <c r="R935" i="5"/>
  <c r="X948" i="5"/>
  <c r="R948" i="5"/>
  <c r="AB957" i="5"/>
  <c r="R966" i="5"/>
  <c r="X969" i="5"/>
  <c r="X973" i="5"/>
  <c r="R982" i="5"/>
  <c r="AB988" i="5"/>
  <c r="AB1012" i="5"/>
  <c r="AB1175" i="5"/>
  <c r="AB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X1176" i="5"/>
  <c r="X1184" i="5"/>
  <c r="R1221" i="5"/>
  <c r="AB1240" i="5"/>
  <c r="X1345" i="5"/>
  <c r="R1345" i="5"/>
  <c r="X1383" i="5"/>
  <c r="R1383" i="5"/>
  <c r="AB1468" i="5"/>
  <c r="AB1270" i="5"/>
  <c r="AB1274" i="5"/>
  <c r="AB1278" i="5"/>
  <c r="AB1282" i="5"/>
  <c r="AB1286" i="5"/>
  <c r="AB1290" i="5"/>
  <c r="AB1294" i="5"/>
  <c r="AB1298" i="5"/>
  <c r="AB1302" i="5"/>
  <c r="AB1306" i="5"/>
  <c r="AB1310" i="5"/>
  <c r="AB1314" i="5"/>
  <c r="AB1318" i="5"/>
  <c r="AB1322" i="5"/>
  <c r="AB1326" i="5"/>
  <c r="AB1330" i="5"/>
  <c r="AB1334" i="5"/>
  <c r="AB1350" i="5"/>
  <c r="X1361" i="5"/>
  <c r="R1361" i="5"/>
  <c r="X1373" i="5"/>
  <c r="R1373" i="5"/>
  <c r="X1389" i="5"/>
  <c r="R1389" i="5"/>
  <c r="AB1400" i="5"/>
  <c r="AB1416" i="5"/>
  <c r="X1502" i="5"/>
  <c r="R1502" i="5"/>
  <c r="R990" i="5"/>
  <c r="R1006" i="5"/>
  <c r="R1022" i="5"/>
  <c r="R1038" i="5"/>
  <c r="R1054" i="5"/>
  <c r="R1070" i="5"/>
  <c r="R1102" i="5"/>
  <c r="R1118" i="5"/>
  <c r="AB1137" i="5"/>
  <c r="R1149" i="5"/>
  <c r="R1155" i="5"/>
  <c r="X1155" i="5"/>
  <c r="AB1158" i="5"/>
  <c r="R1160" i="5"/>
  <c r="AB1182" i="5"/>
  <c r="R1185" i="5"/>
  <c r="AB1187" i="5"/>
  <c r="R1200" i="5"/>
  <c r="AB1208" i="5"/>
  <c r="X1217" i="5"/>
  <c r="R1219" i="5"/>
  <c r="X1219" i="5"/>
  <c r="AB1222" i="5"/>
  <c r="AB1244" i="5"/>
  <c r="AB1252" i="5"/>
  <c r="AB1413" i="5"/>
  <c r="R1537" i="5"/>
  <c r="J1537" i="5"/>
  <c r="I1537" i="5"/>
  <c r="H1537" i="5"/>
  <c r="F1537" i="5"/>
  <c r="X1537" i="5"/>
  <c r="R1545" i="5"/>
  <c r="J1545" i="5"/>
  <c r="I1545" i="5"/>
  <c r="H1545" i="5"/>
  <c r="F1545" i="5"/>
  <c r="X1545" i="5"/>
  <c r="AB933" i="5"/>
  <c r="AB938" i="5"/>
  <c r="AB949" i="5"/>
  <c r="AB973" i="5"/>
  <c r="AB977" i="5"/>
  <c r="AB984" i="5"/>
  <c r="AB993" i="5"/>
  <c r="AB1000" i="5"/>
  <c r="AB1009" i="5"/>
  <c r="AB1016" i="5"/>
  <c r="AB1025" i="5"/>
  <c r="AB1032" i="5"/>
  <c r="AB1041" i="5"/>
  <c r="AB1048" i="5"/>
  <c r="S1049" i="5"/>
  <c r="AB1057" i="5"/>
  <c r="AB1064" i="5"/>
  <c r="AB1073" i="5"/>
  <c r="AB1080" i="5"/>
  <c r="S1081" i="5"/>
  <c r="AB1089" i="5"/>
  <c r="AB1096" i="5"/>
  <c r="AB1105" i="5"/>
  <c r="AB1112" i="5"/>
  <c r="AB1121" i="5"/>
  <c r="AB1128" i="5"/>
  <c r="X1151" i="5"/>
  <c r="R1189" i="5"/>
  <c r="X1200" i="5"/>
  <c r="X1208" i="5"/>
  <c r="X1216" i="5"/>
  <c r="X1248" i="5"/>
  <c r="R1342" i="5"/>
  <c r="X1342" i="5"/>
  <c r="R1372" i="5"/>
  <c r="X1372" i="5"/>
  <c r="R1018" i="5"/>
  <c r="R1034" i="5"/>
  <c r="R1050" i="5"/>
  <c r="R1066" i="5"/>
  <c r="R1082" i="5"/>
  <c r="R1098" i="5"/>
  <c r="R1114" i="5"/>
  <c r="R1130" i="5"/>
  <c r="AB1150" i="5"/>
  <c r="AB1156" i="5"/>
  <c r="X1192" i="5"/>
  <c r="AB1220" i="5"/>
  <c r="R1232" i="5"/>
  <c r="R1256" i="5"/>
  <c r="X1256" i="5"/>
  <c r="R1260" i="5"/>
  <c r="X1260" i="5"/>
  <c r="R1264" i="5"/>
  <c r="X1264" i="5"/>
  <c r="R1268" i="5"/>
  <c r="X1268" i="5"/>
  <c r="R1276" i="5"/>
  <c r="X1276" i="5"/>
  <c r="R1280" i="5"/>
  <c r="X1280" i="5"/>
  <c r="R1284" i="5"/>
  <c r="X1284" i="5"/>
  <c r="R1288" i="5"/>
  <c r="X1288" i="5"/>
  <c r="R1296" i="5"/>
  <c r="X1296" i="5"/>
  <c r="R1300" i="5"/>
  <c r="X1300" i="5"/>
  <c r="R1312" i="5"/>
  <c r="X1312" i="5"/>
  <c r="R1316" i="5"/>
  <c r="X1316" i="5"/>
  <c r="R1324" i="5"/>
  <c r="X1324" i="5"/>
  <c r="R1328" i="5"/>
  <c r="X1328" i="5"/>
  <c r="R1332" i="5"/>
  <c r="X1332" i="5"/>
  <c r="AB1368" i="5"/>
  <c r="AB1384" i="5"/>
  <c r="AB1388" i="5"/>
  <c r="AB1398" i="5"/>
  <c r="AB1407" i="5"/>
  <c r="X1432" i="5"/>
  <c r="R1432" i="5"/>
  <c r="AB1494" i="5"/>
  <c r="AB1028" i="5"/>
  <c r="AB1037" i="5"/>
  <c r="AB1044" i="5"/>
  <c r="AB1053" i="5"/>
  <c r="AB1060" i="5"/>
  <c r="AB1069" i="5"/>
  <c r="AB1076" i="5"/>
  <c r="AB1085" i="5"/>
  <c r="AB1092" i="5"/>
  <c r="AB1101" i="5"/>
  <c r="AB1108" i="5"/>
  <c r="AB1117" i="5"/>
  <c r="X1118" i="5"/>
  <c r="AB1124" i="5"/>
  <c r="AB1139" i="5"/>
  <c r="AB1141" i="5"/>
  <c r="AB1148" i="5"/>
  <c r="X1149" i="5"/>
  <c r="R1209" i="5"/>
  <c r="AB1215" i="5"/>
  <c r="X1232" i="5"/>
  <c r="R1236" i="5"/>
  <c r="R1249" i="5"/>
  <c r="AB1251" i="5"/>
  <c r="X1252" i="5"/>
  <c r="X1351" i="5"/>
  <c r="R1351" i="5"/>
  <c r="R1620" i="5"/>
  <c r="J1620" i="5"/>
  <c r="I1620" i="5"/>
  <c r="H1620" i="5"/>
  <c r="F1620" i="5"/>
  <c r="X1620" i="5"/>
  <c r="X1045" i="5"/>
  <c r="R1046" i="5"/>
  <c r="X1061" i="5"/>
  <c r="R1062" i="5"/>
  <c r="X1077" i="5"/>
  <c r="R1078" i="5"/>
  <c r="X1093" i="5"/>
  <c r="R1094" i="5"/>
  <c r="X1098" i="5"/>
  <c r="X1109" i="5"/>
  <c r="R1110" i="5"/>
  <c r="X1125" i="5"/>
  <c r="R1126" i="5"/>
  <c r="AB1134" i="5"/>
  <c r="X1142" i="5"/>
  <c r="R1142" i="5"/>
  <c r="X1148" i="5"/>
  <c r="R1151" i="5"/>
  <c r="AB1155" i="5"/>
  <c r="S1155" i="5"/>
  <c r="R1168" i="5"/>
  <c r="AB1176" i="5"/>
  <c r="R1187" i="5"/>
  <c r="X1187" i="5"/>
  <c r="AB1190" i="5"/>
  <c r="S1190" i="5"/>
  <c r="R1192" i="5"/>
  <c r="AB1214" i="5"/>
  <c r="R1217" i="5"/>
  <c r="AB1219" i="5"/>
  <c r="AB1247" i="5"/>
  <c r="X1337" i="5"/>
  <c r="X1353" i="5"/>
  <c r="X1363" i="5"/>
  <c r="AB1367" i="5"/>
  <c r="AB1387" i="5"/>
  <c r="X1393" i="5"/>
  <c r="R1393" i="5"/>
  <c r="R1396" i="5"/>
  <c r="X1396" i="5"/>
  <c r="AB1402" i="5"/>
  <c r="X1424" i="5"/>
  <c r="R1424" i="5"/>
  <c r="X1478" i="5"/>
  <c r="R1478" i="5"/>
  <c r="X1518" i="5"/>
  <c r="J1518" i="5"/>
  <c r="I1518" i="5"/>
  <c r="H1518" i="5"/>
  <c r="AB1520" i="5"/>
  <c r="S1520" i="5"/>
  <c r="R1541" i="5"/>
  <c r="J1541" i="5"/>
  <c r="I1541" i="5"/>
  <c r="H1541" i="5"/>
  <c r="F1541" i="5"/>
  <c r="AB1750" i="5"/>
  <c r="AB1135" i="5"/>
  <c r="R1136" i="5"/>
  <c r="AB1142" i="5"/>
  <c r="R1143" i="5"/>
  <c r="AB1151" i="5"/>
  <c r="R1152" i="5"/>
  <c r="AB1160" i="5"/>
  <c r="AB1163" i="5"/>
  <c r="X1182" i="5"/>
  <c r="AB1192" i="5"/>
  <c r="AB1195" i="5"/>
  <c r="X1214" i="5"/>
  <c r="AB1224" i="5"/>
  <c r="AB1227" i="5"/>
  <c r="X1246" i="5"/>
  <c r="AB1246" i="5"/>
  <c r="AB1255" i="5"/>
  <c r="AB1259" i="5"/>
  <c r="AB1263" i="5"/>
  <c r="AB1267" i="5"/>
  <c r="AB1271" i="5"/>
  <c r="AB1275" i="5"/>
  <c r="AB1279" i="5"/>
  <c r="AB1283" i="5"/>
  <c r="AB1287" i="5"/>
  <c r="AB1291" i="5"/>
  <c r="AB1295" i="5"/>
  <c r="AB1299" i="5"/>
  <c r="AB1303" i="5"/>
  <c r="AB1307" i="5"/>
  <c r="AB1311" i="5"/>
  <c r="AB1315" i="5"/>
  <c r="AB1319" i="5"/>
  <c r="AB1323" i="5"/>
  <c r="AB1327" i="5"/>
  <c r="AB1331" i="5"/>
  <c r="AB1335" i="5"/>
  <c r="R1336" i="5"/>
  <c r="AB1386" i="5"/>
  <c r="X1387" i="5"/>
  <c r="R1387" i="5"/>
  <c r="X1410" i="5"/>
  <c r="R1458" i="5"/>
  <c r="X1458" i="5"/>
  <c r="X1469" i="5"/>
  <c r="R1469" i="5"/>
  <c r="AB1484" i="5"/>
  <c r="AB1489" i="5"/>
  <c r="R1503" i="5"/>
  <c r="X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AB1171" i="5"/>
  <c r="AB1203" i="5"/>
  <c r="AB1235" i="5"/>
  <c r="AB1337" i="5"/>
  <c r="AB1339" i="5"/>
  <c r="R1344" i="5"/>
  <c r="AB1354" i="5"/>
  <c r="X1355" i="5"/>
  <c r="R1355" i="5"/>
  <c r="AB1363" i="5"/>
  <c r="R1364" i="5"/>
  <c r="X1364" i="5"/>
  <c r="S1367" i="5"/>
  <c r="X1369" i="5"/>
  <c r="X1379" i="5"/>
  <c r="AB1383" i="5"/>
  <c r="AB1436" i="5"/>
  <c r="X1446" i="5"/>
  <c r="R1446" i="5"/>
  <c r="R1459" i="5"/>
  <c r="X1459" i="5"/>
  <c r="R1529" i="5"/>
  <c r="J1529" i="5"/>
  <c r="H1529" i="5"/>
  <c r="I1529" i="5"/>
  <c r="X1529" i="5"/>
  <c r="J1535" i="5"/>
  <c r="S1549" i="5"/>
  <c r="AB1549" i="5"/>
  <c r="S1147" i="5"/>
  <c r="S1154" i="5"/>
  <c r="X1178" i="5"/>
  <c r="AB1178" i="5"/>
  <c r="X1210" i="5"/>
  <c r="AB1210" i="5"/>
  <c r="X1242" i="5"/>
  <c r="AB1242" i="5"/>
  <c r="X1357" i="5"/>
  <c r="X1367" i="5"/>
  <c r="R1367" i="5"/>
  <c r="AB1399" i="5"/>
  <c r="S1399" i="5"/>
  <c r="X1408" i="5"/>
  <c r="AB1414" i="5"/>
  <c r="X1416" i="5"/>
  <c r="R1416" i="5"/>
  <c r="X1418" i="5"/>
  <c r="R1418" i="5"/>
  <c r="AB1428" i="5"/>
  <c r="R1462" i="5"/>
  <c r="X1462" i="5"/>
  <c r="AB1473" i="5"/>
  <c r="X1474" i="5"/>
  <c r="R1474" i="5"/>
  <c r="R1483" i="5"/>
  <c r="X1542" i="5"/>
  <c r="R1542" i="5"/>
  <c r="J1542" i="5"/>
  <c r="I1542" i="5"/>
  <c r="H1542" i="5"/>
  <c r="F1542" i="5"/>
  <c r="AB1642" i="5"/>
  <c r="S1642" i="5"/>
  <c r="X1166" i="5"/>
  <c r="AB1166" i="5"/>
  <c r="AB1179" i="5"/>
  <c r="AB1198" i="5"/>
  <c r="AB1211" i="5"/>
  <c r="X1230" i="5"/>
  <c r="AB1230" i="5"/>
  <c r="AB1243" i="5"/>
  <c r="X1341" i="5"/>
  <c r="R1341" i="5"/>
  <c r="AB1345" i="5"/>
  <c r="AB1347" i="5"/>
  <c r="AB1351" i="5"/>
  <c r="AB1371" i="5"/>
  <c r="X1377" i="5"/>
  <c r="R1377" i="5"/>
  <c r="AB1378" i="5"/>
  <c r="X1412" i="5"/>
  <c r="R1412" i="5"/>
  <c r="AB1420" i="5"/>
  <c r="X1483" i="5"/>
  <c r="X1498" i="5"/>
  <c r="R1498" i="5"/>
  <c r="R1509" i="5"/>
  <c r="X1509" i="5"/>
  <c r="AB1532" i="5"/>
  <c r="S1532" i="5"/>
  <c r="X1541" i="5"/>
  <c r="AB1167" i="5"/>
  <c r="X1186" i="5"/>
  <c r="AB1186" i="5"/>
  <c r="AB1199" i="5"/>
  <c r="X1218" i="5"/>
  <c r="AB1218" i="5"/>
  <c r="AB1231"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R1356" i="5"/>
  <c r="AB1357" i="5"/>
  <c r="R1363" i="5"/>
  <c r="AB1370" i="5"/>
  <c r="X1371" i="5"/>
  <c r="R1371" i="5"/>
  <c r="AB1379" i="5"/>
  <c r="R1380" i="5"/>
  <c r="X1380" i="5"/>
  <c r="X1395" i="5"/>
  <c r="AB1441" i="5"/>
  <c r="X1442" i="5"/>
  <c r="R1442" i="5"/>
  <c r="AB1452" i="5"/>
  <c r="R1453" i="5"/>
  <c r="X1453" i="5"/>
  <c r="R1481" i="5"/>
  <c r="X1481" i="5"/>
  <c r="R1493" i="5"/>
  <c r="X1493" i="5"/>
  <c r="AB1500" i="5"/>
  <c r="S1500" i="5"/>
  <c r="AB1504" i="5"/>
  <c r="AB1506" i="5"/>
  <c r="F1515" i="5"/>
  <c r="R1515" i="5"/>
  <c r="I1515" i="5"/>
  <c r="H1515" i="5"/>
  <c r="F1518" i="5"/>
  <c r="X1530" i="5"/>
  <c r="J1530" i="5"/>
  <c r="I1530" i="5"/>
  <c r="R1530" i="5"/>
  <c r="H1530" i="5"/>
  <c r="F1530" i="5"/>
  <c r="AB1634" i="5"/>
  <c r="S1634" i="5"/>
  <c r="AB1395" i="5"/>
  <c r="AB1412" i="5"/>
  <c r="AB1458" i="5"/>
  <c r="R1463" i="5"/>
  <c r="AB1472" i="5"/>
  <c r="R1475" i="5"/>
  <c r="X1475" i="5"/>
  <c r="AB1510" i="5"/>
  <c r="S1522" i="5"/>
  <c r="X1549" i="5"/>
  <c r="J1549" i="5"/>
  <c r="I1549" i="5"/>
  <c r="H1549" i="5"/>
  <c r="F1549" i="5"/>
  <c r="R1549" i="5"/>
  <c r="J1756" i="5"/>
  <c r="I1756" i="5"/>
  <c r="H1756" i="5"/>
  <c r="X1756" i="5"/>
  <c r="R1756" i="5"/>
  <c r="F1756" i="5"/>
  <c r="S1369" i="5"/>
  <c r="AB1415" i="5"/>
  <c r="AB1424" i="5"/>
  <c r="AB1432" i="5"/>
  <c r="AB1440" i="5"/>
  <c r="R1443" i="5"/>
  <c r="X1443" i="5"/>
  <c r="AB1453" i="5"/>
  <c r="AB1462" i="5"/>
  <c r="X1463" i="5"/>
  <c r="AB1474" i="5"/>
  <c r="R1479" i="5"/>
  <c r="X1486" i="5"/>
  <c r="AB1488" i="5"/>
  <c r="R1497" i="5"/>
  <c r="R1499" i="5"/>
  <c r="X1514" i="5"/>
  <c r="J1514" i="5"/>
  <c r="I1514" i="5"/>
  <c r="R1514" i="5"/>
  <c r="H1514" i="5"/>
  <c r="F1519" i="5"/>
  <c r="R1519" i="5"/>
  <c r="H1519" i="5"/>
  <c r="X1519" i="5"/>
  <c r="F1543" i="5"/>
  <c r="X1543" i="5"/>
  <c r="R1543" i="5"/>
  <c r="J1543" i="5"/>
  <c r="I1543" i="5"/>
  <c r="X1349" i="5"/>
  <c r="AB1359" i="5"/>
  <c r="AB1364" i="5"/>
  <c r="X1365" i="5"/>
  <c r="AB1375" i="5"/>
  <c r="AB1380" i="5"/>
  <c r="AB1391" i="5"/>
  <c r="AB1396" i="5"/>
  <c r="X1397" i="5"/>
  <c r="X1402" i="5"/>
  <c r="AB1406" i="5"/>
  <c r="AB1408" i="5"/>
  <c r="AB1422" i="5"/>
  <c r="AB1430" i="5"/>
  <c r="AB1438" i="5"/>
  <c r="AB1442" i="5"/>
  <c r="R1447" i="5"/>
  <c r="AB1469" i="5"/>
  <c r="AB1478"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X1830" i="5"/>
  <c r="AB1404" i="5"/>
  <c r="AB1446" i="5"/>
  <c r="AB1457" i="5"/>
  <c r="X1482" i="5"/>
  <c r="R1482" i="5"/>
  <c r="R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R1423" i="5"/>
  <c r="R1431" i="5"/>
  <c r="R1439" i="5"/>
  <c r="AB1448" i="5"/>
  <c r="X1452" i="5"/>
  <c r="AB1480" i="5"/>
  <c r="AB1482" i="5"/>
  <c r="X1490" i="5"/>
  <c r="X1504" i="5"/>
  <c r="R1507" i="5"/>
  <c r="AB1508" i="5"/>
  <c r="S1514" i="5"/>
  <c r="AB1514" i="5"/>
  <c r="X1522" i="5"/>
  <c r="J1522" i="5"/>
  <c r="I1522" i="5"/>
  <c r="AB1626" i="5"/>
  <c r="S1626" i="5"/>
  <c r="AB1698" i="5"/>
  <c r="S1698" i="5"/>
  <c r="AB2470" i="5"/>
  <c r="S2470" i="5"/>
  <c r="X1423" i="5"/>
  <c r="AB1423" i="5"/>
  <c r="X1431" i="5"/>
  <c r="AB1431" i="5"/>
  <c r="X1439" i="5"/>
  <c r="AB1439" i="5"/>
  <c r="AB1444" i="5"/>
  <c r="AB1445" i="5"/>
  <c r="X1448" i="5"/>
  <c r="R1467" i="5"/>
  <c r="AB1476" i="5"/>
  <c r="AB1477" i="5"/>
  <c r="X1480" i="5"/>
  <c r="AB1485" i="5"/>
  <c r="AB1486" i="5"/>
  <c r="X1507"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R1411" i="5"/>
  <c r="R1419" i="5"/>
  <c r="R1427" i="5"/>
  <c r="R1435" i="5"/>
  <c r="R1452" i="5"/>
  <c r="R1455" i="5"/>
  <c r="AB1464" i="5"/>
  <c r="X1468" i="5"/>
  <c r="X1488" i="5"/>
  <c r="R1491" i="5"/>
  <c r="AB1492" i="5"/>
  <c r="AB1498" i="5"/>
  <c r="X1506"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X1427" i="5"/>
  <c r="AB1427" i="5"/>
  <c r="X1430" i="5"/>
  <c r="X1435" i="5"/>
  <c r="AB1435" i="5"/>
  <c r="R1448" i="5"/>
  <c r="R1449" i="5"/>
  <c r="R1451" i="5"/>
  <c r="X1455" i="5"/>
  <c r="AB1460" i="5"/>
  <c r="AB1461" i="5"/>
  <c r="R1480" i="5"/>
  <c r="X1491" i="5"/>
  <c r="X1492" i="5"/>
  <c r="R1495" i="5"/>
  <c r="AB1496" i="5"/>
  <c r="AB1501" i="5"/>
  <c r="AB1502"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H64" i="6"/>
  <c r="G5" i="6"/>
  <c r="H5" i="6"/>
  <c r="H6" i="6"/>
  <c r="X2433"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9" i="1"/>
  <c r="F4" i="8"/>
  <c r="H4" i="8"/>
  <c r="I4" i="8"/>
  <c r="C4" i="8"/>
  <c r="S169" i="5"/>
  <c r="S295" i="5"/>
  <c r="S83" i="5"/>
  <c r="S572" i="5"/>
  <c r="S187" i="5"/>
  <c r="S175" i="5"/>
  <c r="S27" i="5"/>
  <c r="R2165" i="5"/>
  <c r="I1967" i="5"/>
  <c r="X2165" i="5"/>
  <c r="J2069" i="5"/>
  <c r="I2069" i="5"/>
  <c r="J1967" i="5"/>
  <c r="X290" i="5"/>
  <c r="X2044" i="5"/>
  <c r="R2044" i="5"/>
  <c r="R1967" i="5"/>
  <c r="X1967" i="5"/>
  <c r="H1959" i="5"/>
  <c r="R987" i="5"/>
  <c r="R2069" i="5"/>
  <c r="I1959" i="5"/>
  <c r="X1272" i="5"/>
  <c r="H2069" i="5"/>
  <c r="J1959" i="5"/>
  <c r="R1959" i="5"/>
  <c r="X1198" i="5"/>
  <c r="X520" i="5"/>
  <c r="X363" i="5"/>
  <c r="X322" i="5"/>
  <c r="X347" i="5"/>
  <c r="X186" i="5"/>
  <c r="X226" i="5"/>
  <c r="X456"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X336" i="5"/>
  <c r="X356" i="5"/>
  <c r="X318" i="5"/>
  <c r="X154" i="5"/>
  <c r="X214" i="5"/>
  <c r="X20" i="5"/>
  <c r="X233" i="5"/>
  <c r="X70" i="5"/>
  <c r="X329" i="5"/>
  <c r="X98" i="5"/>
  <c r="X241" i="5"/>
  <c r="X301" i="5"/>
  <c r="X198" i="5"/>
  <c r="X134" i="5"/>
  <c r="X234" i="5"/>
  <c r="X174" i="5"/>
  <c r="X353" i="5"/>
  <c r="X34"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X96" i="5"/>
  <c r="X48" i="5"/>
  <c r="X22" i="5"/>
  <c r="X327" i="5"/>
  <c r="X118" i="5"/>
  <c r="X311" i="5"/>
  <c r="X253" i="5"/>
  <c r="X54" i="5"/>
  <c r="X50" i="5"/>
  <c r="X317" i="5"/>
  <c r="X66" i="5"/>
  <c r="X373" i="5"/>
  <c r="X62" i="5"/>
  <c r="X357" i="5"/>
  <c r="X90" i="5"/>
  <c r="X130" i="5"/>
  <c r="X383" i="5"/>
  <c r="X313" i="5"/>
  <c r="X92" i="5"/>
  <c r="X76" i="5"/>
  <c r="X44" i="5"/>
  <c r="X250" i="5"/>
  <c r="X319" i="5"/>
  <c r="X242" i="5"/>
  <c r="X345" i="5"/>
  <c r="X285" i="5"/>
  <c r="X321" i="5"/>
  <c r="X249" i="5"/>
  <c r="X309" i="5"/>
  <c r="C12" i="6"/>
  <c r="C7" i="6"/>
  <c r="B32" i="6"/>
  <c r="X2318" i="5"/>
  <c r="J1919" i="5"/>
  <c r="X1289" i="5"/>
  <c r="R983" i="5"/>
  <c r="R872" i="5"/>
  <c r="F1735" i="5"/>
  <c r="I1859" i="5"/>
  <c r="F1577" i="5"/>
  <c r="X752" i="5"/>
  <c r="I1735" i="5"/>
  <c r="J2284" i="5"/>
  <c r="F2189" i="5"/>
  <c r="J1735" i="5"/>
  <c r="R1339" i="5"/>
  <c r="I1665" i="5"/>
  <c r="H1577" i="5"/>
  <c r="X1339" i="5"/>
  <c r="R967" i="5"/>
  <c r="R829" i="5"/>
  <c r="F2409" i="5"/>
  <c r="R1669" i="5"/>
  <c r="J1577" i="5"/>
  <c r="X967" i="5"/>
  <c r="X678" i="5"/>
  <c r="X650" i="5"/>
  <c r="H2173" i="5"/>
  <c r="J1684" i="5"/>
  <c r="X1385" i="5"/>
  <c r="R1039" i="5"/>
  <c r="J2173" i="5"/>
  <c r="R1320" i="5"/>
  <c r="X2173" i="5"/>
  <c r="H2116" i="5"/>
  <c r="R1754" i="5"/>
  <c r="J1593" i="5"/>
  <c r="H1593" i="5"/>
  <c r="F2301" i="5"/>
  <c r="R1593" i="5"/>
  <c r="X1320" i="5"/>
  <c r="R2301" i="5"/>
  <c r="X1593" i="5"/>
  <c r="R1051" i="5"/>
  <c r="R1015" i="5"/>
  <c r="R852" i="5"/>
  <c r="F1947" i="5"/>
  <c r="H1947" i="5"/>
  <c r="X1426" i="5"/>
  <c r="X872" i="5"/>
  <c r="I1947" i="5"/>
  <c r="R1665" i="5"/>
  <c r="X1158" i="5"/>
  <c r="X2363" i="5"/>
  <c r="J1947" i="5"/>
  <c r="R1947" i="5"/>
  <c r="J1665" i="5"/>
  <c r="R262" i="5"/>
  <c r="I2363" i="5"/>
  <c r="R574" i="5"/>
  <c r="I2480" i="5"/>
  <c r="X1947" i="5"/>
  <c r="R1325" i="5"/>
  <c r="R746" i="5"/>
  <c r="H2325" i="5"/>
  <c r="R1329" i="5"/>
  <c r="R1204" i="5"/>
  <c r="F1665" i="5"/>
  <c r="H1665" i="5"/>
  <c r="R2363" i="5"/>
  <c r="R2317" i="5"/>
  <c r="R2157" i="5"/>
  <c r="H1786" i="5"/>
  <c r="R799" i="5"/>
  <c r="R2397" i="5"/>
  <c r="J2363" i="5"/>
  <c r="X2157" i="5"/>
  <c r="H2397" i="5"/>
  <c r="X2397" i="5"/>
  <c r="X717" i="5"/>
  <c r="R775" i="5"/>
  <c r="X799" i="5"/>
  <c r="X775" i="5"/>
  <c r="R403" i="5"/>
  <c r="H2317" i="5"/>
  <c r="F2363" i="5"/>
  <c r="H2363" i="5"/>
  <c r="I2317" i="5"/>
  <c r="F1786" i="5"/>
  <c r="X2016" i="5"/>
  <c r="J2016" i="5"/>
  <c r="J1724" i="5"/>
  <c r="X1684" i="5"/>
  <c r="J2077" i="5"/>
  <c r="I2077" i="5"/>
  <c r="J1673" i="5"/>
  <c r="X1716" i="5"/>
  <c r="R1403" i="5"/>
  <c r="R1308" i="5"/>
  <c r="X2257" i="5"/>
  <c r="I1770" i="5"/>
  <c r="R1633" i="5"/>
  <c r="R891" i="5"/>
  <c r="X1067" i="5"/>
  <c r="R2077" i="5"/>
  <c r="J1770" i="5"/>
  <c r="R1673" i="5"/>
  <c r="R2257" i="5"/>
  <c r="F1526" i="5"/>
  <c r="R1123" i="5"/>
  <c r="R1272" i="5"/>
  <c r="F1673" i="5"/>
  <c r="J2318" i="5"/>
  <c r="I1526" i="5"/>
  <c r="H1673" i="5"/>
  <c r="R2318" i="5"/>
  <c r="H2043" i="5"/>
  <c r="J1633" i="5"/>
  <c r="X1434" i="5"/>
  <c r="X1673" i="5"/>
  <c r="R115" i="5"/>
  <c r="R1724" i="5"/>
  <c r="F1680" i="5"/>
  <c r="H1672" i="5"/>
  <c r="X1325" i="5"/>
  <c r="F1681" i="5"/>
  <c r="H1700" i="5"/>
  <c r="X1724" i="5"/>
  <c r="F2293" i="5"/>
  <c r="I1700" i="5"/>
  <c r="F1609" i="5"/>
  <c r="H1680" i="5"/>
  <c r="X696" i="5"/>
  <c r="I1681" i="5"/>
  <c r="H1681" i="5"/>
  <c r="H2293" i="5"/>
  <c r="F1936" i="5"/>
  <c r="J1700" i="5"/>
  <c r="J1609" i="5"/>
  <c r="R1712" i="5"/>
  <c r="I1680" i="5"/>
  <c r="R1313" i="5"/>
  <c r="R762" i="5"/>
  <c r="I2293" i="5"/>
  <c r="R1697" i="5"/>
  <c r="J1693" i="5"/>
  <c r="R1609" i="5"/>
  <c r="X1712" i="5"/>
  <c r="J1680" i="5"/>
  <c r="X1313" i="5"/>
  <c r="R419" i="5"/>
  <c r="X2293" i="5"/>
  <c r="R2293" i="5"/>
  <c r="R1693" i="5"/>
  <c r="H1724" i="5"/>
  <c r="R1680" i="5"/>
  <c r="H2289" i="5"/>
  <c r="I1724" i="5"/>
  <c r="R1224" i="5"/>
  <c r="J2480" i="5"/>
  <c r="J2232" i="5"/>
  <c r="J1641" i="5"/>
  <c r="X1297" i="5"/>
  <c r="H2480" i="5"/>
  <c r="H1859" i="5"/>
  <c r="I1754" i="5"/>
  <c r="R1641" i="5"/>
  <c r="R1233" i="5"/>
  <c r="R2480" i="5"/>
  <c r="R2310" i="5"/>
  <c r="J1859" i="5"/>
  <c r="X1754" i="5"/>
  <c r="R1644" i="5"/>
  <c r="R1253" i="5"/>
  <c r="R447" i="5"/>
  <c r="X2310" i="5"/>
  <c r="F2092" i="5"/>
  <c r="R1859" i="5"/>
  <c r="X1253" i="5"/>
  <c r="X2480" i="5"/>
  <c r="F1859" i="5"/>
  <c r="X1859" i="5"/>
  <c r="X1668" i="5"/>
  <c r="X1508" i="5"/>
  <c r="X1222" i="5"/>
  <c r="R1086" i="5"/>
  <c r="R415" i="5"/>
  <c r="F2480" i="5"/>
  <c r="X2386" i="5"/>
  <c r="J2164" i="5"/>
  <c r="R1653" i="5"/>
  <c r="J1653" i="5"/>
  <c r="R836" i="5"/>
  <c r="R395" i="5"/>
  <c r="X1900" i="5"/>
  <c r="J1725" i="5"/>
  <c r="H1716" i="5"/>
  <c r="X1381" i="5"/>
  <c r="X1329" i="5"/>
  <c r="X971" i="5"/>
  <c r="X2213" i="5"/>
  <c r="X1633" i="5"/>
  <c r="R808" i="5"/>
  <c r="J2133" i="5"/>
  <c r="J2161" i="5"/>
  <c r="X1919" i="5"/>
  <c r="I1716" i="5"/>
  <c r="R2133" i="5"/>
  <c r="R2161" i="5"/>
  <c r="F1919" i="5"/>
  <c r="J1716" i="5"/>
  <c r="X1403" i="5"/>
  <c r="R1067" i="5"/>
  <c r="X1308" i="5"/>
  <c r="X2133" i="5"/>
  <c r="H1900" i="5"/>
  <c r="I1919" i="5"/>
  <c r="R1716" i="5"/>
  <c r="H1684" i="5"/>
  <c r="R1285" i="5"/>
  <c r="H1919" i="5"/>
  <c r="I1684" i="5"/>
  <c r="X1285" i="5"/>
  <c r="R883" i="5"/>
  <c r="X783" i="5"/>
  <c r="F1900" i="5"/>
  <c r="R1919" i="5"/>
  <c r="R1725" i="5"/>
  <c r="R1684" i="5"/>
  <c r="X1526" i="5"/>
  <c r="J2181" i="5"/>
  <c r="H2164" i="5"/>
  <c r="R2184" i="5"/>
  <c r="J1668" i="5"/>
  <c r="R1660" i="5"/>
  <c r="X1688" i="5"/>
  <c r="H1652" i="5"/>
  <c r="I1644" i="5"/>
  <c r="R2181" i="5"/>
  <c r="I2164" i="5"/>
  <c r="X2012" i="5"/>
  <c r="X2092" i="5"/>
  <c r="R1668" i="5"/>
  <c r="F1708" i="5"/>
  <c r="X1660" i="5"/>
  <c r="I1652" i="5"/>
  <c r="J1644" i="5"/>
  <c r="X942" i="5"/>
  <c r="X767" i="5"/>
  <c r="J2454" i="5"/>
  <c r="F2215" i="5"/>
  <c r="X2215" i="5"/>
  <c r="X2184" i="5"/>
  <c r="R2164" i="5"/>
  <c r="I2043" i="5"/>
  <c r="R1657" i="5"/>
  <c r="R1652" i="5"/>
  <c r="H1708" i="5"/>
  <c r="X1644" i="5"/>
  <c r="X680" i="5"/>
  <c r="R391" i="5"/>
  <c r="F2012" i="5"/>
  <c r="R2454" i="5"/>
  <c r="H2215" i="5"/>
  <c r="J2043" i="5"/>
  <c r="H2092" i="5"/>
  <c r="H1688" i="5"/>
  <c r="X1652" i="5"/>
  <c r="I1708" i="5"/>
  <c r="R942" i="5"/>
  <c r="R720" i="5"/>
  <c r="F2253" i="5"/>
  <c r="X2253" i="5"/>
  <c r="J2197" i="5"/>
  <c r="H2184" i="5"/>
  <c r="R2012" i="5"/>
  <c r="R2043" i="5"/>
  <c r="I2092" i="5"/>
  <c r="H1660" i="5"/>
  <c r="F1644" i="5"/>
  <c r="I1688" i="5"/>
  <c r="F1668" i="5"/>
  <c r="J1708" i="5"/>
  <c r="R2197" i="5"/>
  <c r="I2184" i="5"/>
  <c r="X2043" i="5"/>
  <c r="J2092" i="5"/>
  <c r="J1657" i="5"/>
  <c r="H1668" i="5"/>
  <c r="I1660" i="5"/>
  <c r="J1688" i="5"/>
  <c r="R1708" i="5"/>
  <c r="J2184" i="5"/>
  <c r="I1668" i="5"/>
  <c r="J1660" i="5"/>
  <c r="R1688" i="5"/>
  <c r="X2197" i="5"/>
  <c r="X2409" i="5"/>
  <c r="I2116" i="5"/>
  <c r="R1774" i="5"/>
  <c r="R1140" i="5"/>
  <c r="X852" i="5"/>
  <c r="R754" i="5"/>
  <c r="X1140" i="5"/>
  <c r="J2116" i="5"/>
  <c r="I1855" i="5"/>
  <c r="X1842" i="5"/>
  <c r="H1774" i="5"/>
  <c r="H1811" i="5"/>
  <c r="X1774" i="5"/>
  <c r="R979" i="5"/>
  <c r="R2116" i="5"/>
  <c r="H1855" i="5"/>
  <c r="I1811" i="5"/>
  <c r="F1774" i="5"/>
  <c r="X730" i="5"/>
  <c r="X1086" i="5"/>
  <c r="R580" i="5"/>
  <c r="F1842" i="5"/>
  <c r="J1855" i="5"/>
  <c r="J1811" i="5"/>
  <c r="R1292" i="5"/>
  <c r="R869" i="5"/>
  <c r="I2417" i="5"/>
  <c r="H1842" i="5"/>
  <c r="R1855" i="5"/>
  <c r="X1811" i="5"/>
  <c r="X869" i="5"/>
  <c r="R730" i="5"/>
  <c r="X738" i="5"/>
  <c r="I1842" i="5"/>
  <c r="X1855" i="5"/>
  <c r="R1811" i="5"/>
  <c r="R1317" i="5"/>
  <c r="R411" i="5"/>
  <c r="R87" i="5"/>
  <c r="J1842" i="5"/>
  <c r="H1696" i="5"/>
  <c r="X1317" i="5"/>
  <c r="R439" i="5"/>
  <c r="B30" i="6"/>
  <c r="G30" i="6"/>
  <c r="B41" i="6"/>
  <c r="G41" i="6"/>
  <c r="B31" i="6"/>
  <c r="G31" i="6"/>
  <c r="J2417" i="5"/>
  <c r="J2160" i="5"/>
  <c r="F1876" i="5"/>
  <c r="X1801" i="5"/>
  <c r="R1770" i="5"/>
  <c r="R1700" i="5"/>
  <c r="X1609" i="5"/>
  <c r="X1577" i="5"/>
  <c r="I1696" i="5"/>
  <c r="I1672" i="5"/>
  <c r="R888" i="5"/>
  <c r="X829" i="5"/>
  <c r="R757" i="5"/>
  <c r="R431" i="5"/>
  <c r="X2325" i="5"/>
  <c r="H2012" i="5"/>
  <c r="F2197" i="5"/>
  <c r="R2417" i="5"/>
  <c r="H2409" i="5"/>
  <c r="X2317" i="5"/>
  <c r="H2011" i="5"/>
  <c r="J1876" i="5"/>
  <c r="X1770" i="5"/>
  <c r="J1669" i="5"/>
  <c r="X1700" i="5"/>
  <c r="J1696" i="5"/>
  <c r="F1700" i="5"/>
  <c r="F1712" i="5"/>
  <c r="J1672" i="5"/>
  <c r="R1003" i="5"/>
  <c r="X1352" i="5"/>
  <c r="X1292" i="5"/>
  <c r="J2397" i="5"/>
  <c r="I2012" i="5"/>
  <c r="I2197" i="5"/>
  <c r="X2417" i="5"/>
  <c r="I2409" i="5"/>
  <c r="F2325" i="5"/>
  <c r="I2011" i="5"/>
  <c r="J1936" i="5"/>
  <c r="F1770" i="5"/>
  <c r="R1696" i="5"/>
  <c r="H1664" i="5"/>
  <c r="R1672" i="5"/>
  <c r="R194" i="5"/>
  <c r="R215" i="5"/>
  <c r="J2409" i="5"/>
  <c r="H2301" i="5"/>
  <c r="H2100" i="5"/>
  <c r="J2011" i="5"/>
  <c r="R1936" i="5"/>
  <c r="H1801" i="5"/>
  <c r="H1867" i="5"/>
  <c r="I1664" i="5"/>
  <c r="H1712" i="5"/>
  <c r="X1672" i="5"/>
  <c r="R974" i="5"/>
  <c r="X757" i="5"/>
  <c r="R334" i="5"/>
  <c r="X2301" i="5"/>
  <c r="I1801" i="5"/>
  <c r="J1664" i="5"/>
  <c r="I1712" i="5"/>
  <c r="X1494" i="5"/>
  <c r="X1190" i="5"/>
  <c r="R875" i="5"/>
  <c r="R738" i="5"/>
  <c r="X749" i="5"/>
  <c r="R718" i="5"/>
  <c r="R207" i="5"/>
  <c r="X1510" i="5"/>
  <c r="X974" i="5"/>
  <c r="R435" i="5"/>
  <c r="F2061" i="5"/>
  <c r="H2197" i="5"/>
  <c r="F2405" i="5"/>
  <c r="F2386" i="5"/>
  <c r="R2289" i="5"/>
  <c r="X2154" i="5"/>
  <c r="R2160" i="5"/>
  <c r="I2100" i="5"/>
  <c r="R2035" i="5"/>
  <c r="X1876" i="5"/>
  <c r="I1867" i="5"/>
  <c r="X1304" i="5"/>
  <c r="R794" i="5"/>
  <c r="X634" i="5"/>
  <c r="F1940" i="5"/>
  <c r="F2289" i="5"/>
  <c r="F2154" i="5"/>
  <c r="J2100" i="5"/>
  <c r="J1940" i="5"/>
  <c r="X2035" i="5"/>
  <c r="J1867" i="5"/>
  <c r="I1761" i="5"/>
  <c r="X1471" i="5"/>
  <c r="R1115" i="5"/>
  <c r="X1145" i="5"/>
  <c r="R1074" i="5"/>
  <c r="J1527" i="5"/>
  <c r="I1527" i="5"/>
  <c r="H1527" i="5"/>
  <c r="X1527" i="5"/>
  <c r="R592" i="5"/>
  <c r="I2386" i="5"/>
  <c r="H2405" i="5"/>
  <c r="H2180" i="5"/>
  <c r="R2100" i="5"/>
  <c r="R1940" i="5"/>
  <c r="R1867" i="5"/>
  <c r="H1940" i="5"/>
  <c r="J2405" i="5"/>
  <c r="X2160" i="5"/>
  <c r="I2180" i="5"/>
  <c r="X1940" i="5"/>
  <c r="X1867" i="5"/>
  <c r="I1786" i="5"/>
  <c r="R1145" i="5"/>
  <c r="X814" i="5"/>
  <c r="R423" i="5"/>
  <c r="I2289" i="5"/>
  <c r="R2405" i="5"/>
  <c r="H2386" i="5"/>
  <c r="J2180" i="5"/>
  <c r="X2100" i="5"/>
  <c r="J1952" i="5"/>
  <c r="J1786" i="5"/>
  <c r="X1074" i="5"/>
  <c r="R303" i="5"/>
  <c r="R71" i="5"/>
  <c r="F2381" i="5"/>
  <c r="X2405" i="5"/>
  <c r="J2386" i="5"/>
  <c r="R2180" i="5"/>
  <c r="H2160" i="5"/>
  <c r="F2100" i="5"/>
  <c r="R1952" i="5"/>
  <c r="H2035" i="5"/>
  <c r="F1867" i="5"/>
  <c r="R1786" i="5"/>
  <c r="R1131" i="5"/>
  <c r="R1304" i="5"/>
  <c r="R2386" i="5"/>
  <c r="I2160" i="5"/>
  <c r="X1952" i="5"/>
  <c r="I2035" i="5"/>
  <c r="X1786" i="5"/>
  <c r="R1471" i="5"/>
  <c r="R971" i="5"/>
  <c r="R817" i="5"/>
  <c r="R1055" i="5"/>
  <c r="R712" i="5"/>
  <c r="R427" i="5"/>
  <c r="R608" i="5"/>
  <c r="X2465" i="5"/>
  <c r="J2465" i="5"/>
  <c r="F1696" i="5"/>
  <c r="I2205" i="5"/>
  <c r="R2205" i="5"/>
  <c r="J2205" i="5"/>
  <c r="H2205" i="5"/>
  <c r="F2205" i="5"/>
  <c r="X2205" i="5"/>
  <c r="X640" i="5"/>
  <c r="R640" i="5"/>
  <c r="X672" i="5"/>
  <c r="R672" i="5"/>
  <c r="R175" i="5"/>
  <c r="X808" i="5"/>
  <c r="X644" i="5"/>
  <c r="I2265" i="5"/>
  <c r="R2265" i="5"/>
  <c r="J2265" i="5"/>
  <c r="X891" i="5"/>
  <c r="R915" i="5"/>
  <c r="R710" i="5"/>
  <c r="I2215" i="5"/>
  <c r="J2215" i="5"/>
  <c r="R1198" i="5"/>
  <c r="X987" i="5"/>
  <c r="R1107" i="5"/>
  <c r="R867" i="5"/>
  <c r="X915" i="5"/>
  <c r="X679" i="5"/>
  <c r="H1526" i="5"/>
  <c r="R1526" i="5"/>
  <c r="R1158" i="5"/>
  <c r="R931" i="5"/>
  <c r="R1138" i="5"/>
  <c r="X867" i="5"/>
  <c r="F2265" i="5"/>
  <c r="X2265" i="5"/>
  <c r="I2199" i="5"/>
  <c r="R2199" i="5"/>
  <c r="J2199" i="5"/>
  <c r="X1051" i="5"/>
  <c r="R578" i="5"/>
  <c r="R306" i="5"/>
  <c r="R243" i="5"/>
  <c r="J1761" i="5"/>
  <c r="X1464" i="5"/>
  <c r="H2265" i="5"/>
  <c r="I2397" i="5"/>
  <c r="F2397" i="5"/>
  <c r="I2253" i="5"/>
  <c r="R2253" i="5"/>
  <c r="J2253" i="5"/>
  <c r="H2253" i="5"/>
  <c r="I2257" i="5"/>
  <c r="J2257" i="5"/>
  <c r="R191" i="5"/>
  <c r="R103" i="5"/>
  <c r="R314" i="5"/>
  <c r="R330" i="5"/>
  <c r="X1138" i="5"/>
  <c r="X712" i="5"/>
  <c r="X2189" i="5"/>
  <c r="I2189" i="5"/>
  <c r="H2189" i="5"/>
  <c r="I1851" i="5"/>
  <c r="F1851" i="5"/>
  <c r="I1633" i="5"/>
  <c r="F1633" i="5"/>
  <c r="R239" i="5"/>
  <c r="I2213" i="5"/>
  <c r="R2213" i="5"/>
  <c r="J2213" i="5"/>
  <c r="H2213" i="5"/>
  <c r="F2213" i="5"/>
  <c r="J2381" i="5"/>
  <c r="I2381" i="5"/>
  <c r="X2381" i="5"/>
  <c r="R43" i="5"/>
  <c r="R91" i="5"/>
  <c r="X2334" i="5"/>
  <c r="I2334" i="5"/>
  <c r="J2334" i="5"/>
  <c r="H2334" i="5"/>
  <c r="F2334" i="5"/>
  <c r="I2161" i="5"/>
  <c r="H2161" i="5"/>
  <c r="F2161" i="5"/>
  <c r="R1876" i="5"/>
  <c r="I1876" i="5"/>
  <c r="H1936" i="5"/>
  <c r="I1936" i="5"/>
  <c r="X1697" i="5"/>
  <c r="F1697" i="5"/>
  <c r="I1697" i="5"/>
  <c r="H1697" i="5"/>
  <c r="X1713" i="5"/>
  <c r="I1713" i="5"/>
  <c r="H1713" i="5"/>
  <c r="F1713" i="5"/>
  <c r="F1664" i="5"/>
  <c r="R1508" i="5"/>
  <c r="X1645" i="5"/>
  <c r="I1645" i="5"/>
  <c r="H1645" i="5"/>
  <c r="F1645" i="5"/>
  <c r="X1071" i="5"/>
  <c r="X1035" i="5"/>
  <c r="X794" i="5"/>
  <c r="X1007" i="5"/>
  <c r="X632" i="5"/>
  <c r="R632" i="5"/>
  <c r="R814" i="5"/>
  <c r="R163" i="5"/>
  <c r="X2330" i="5"/>
  <c r="I2330" i="5"/>
  <c r="J2330" i="5"/>
  <c r="H2330" i="5"/>
  <c r="F2330" i="5"/>
  <c r="R2225" i="5"/>
  <c r="J2225" i="5"/>
  <c r="H2225" i="5"/>
  <c r="F2225" i="5"/>
  <c r="X2181" i="5"/>
  <c r="I2181" i="5"/>
  <c r="H2181" i="5"/>
  <c r="F2181" i="5"/>
  <c r="I2165" i="5"/>
  <c r="H2165" i="5"/>
  <c r="F2165" i="5"/>
  <c r="I2044" i="5"/>
  <c r="H2044" i="5"/>
  <c r="F2044" i="5"/>
  <c r="X2069" i="5"/>
  <c r="F2069" i="5"/>
  <c r="R1494" i="5"/>
  <c r="F1632" i="5"/>
  <c r="R1426" i="5"/>
  <c r="R1193" i="5"/>
  <c r="X1193" i="5"/>
  <c r="X1123" i="5"/>
  <c r="X979" i="5"/>
  <c r="X774" i="5"/>
  <c r="X710" i="5"/>
  <c r="R576" i="5"/>
  <c r="R297"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X1003" i="5"/>
  <c r="R596" i="5"/>
  <c r="R365" i="5"/>
  <c r="R279" i="5"/>
  <c r="R717" i="5"/>
  <c r="R251" i="5"/>
  <c r="R293" i="5"/>
  <c r="R290" i="5"/>
  <c r="I2016" i="5"/>
  <c r="H2016" i="5"/>
  <c r="F2016" i="5"/>
  <c r="X1657" i="5"/>
  <c r="F1657" i="5"/>
  <c r="I1657" i="5"/>
  <c r="H1657" i="5"/>
  <c r="X1204" i="5"/>
  <c r="R1190" i="5"/>
  <c r="X1015" i="5"/>
  <c r="X750" i="5"/>
  <c r="X754" i="5"/>
  <c r="X648" i="5"/>
  <c r="R648" i="5"/>
  <c r="R602" i="5"/>
  <c r="R261" i="5"/>
  <c r="R277" i="5"/>
  <c r="R600" i="5"/>
  <c r="R151" i="5"/>
  <c r="I2157" i="5"/>
  <c r="H2157" i="5"/>
  <c r="J2301" i="5"/>
  <c r="X2233" i="5"/>
  <c r="R2233" i="5"/>
  <c r="J2233" i="5"/>
  <c r="H2233" i="5"/>
  <c r="F2233" i="5"/>
  <c r="X1641" i="5"/>
  <c r="F1641" i="5"/>
  <c r="I1641" i="5"/>
  <c r="H1641" i="5"/>
  <c r="J1754" i="5"/>
  <c r="H1754" i="5"/>
  <c r="R1510" i="5"/>
  <c r="X1079" i="5"/>
  <c r="X1107" i="5"/>
  <c r="X662" i="5"/>
  <c r="R662" i="5"/>
  <c r="R634" i="5"/>
  <c r="X664" i="5"/>
  <c r="R664" i="5"/>
  <c r="R287" i="5"/>
  <c r="R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R1438" i="5"/>
  <c r="R1222" i="5"/>
  <c r="X1115" i="5"/>
  <c r="R1464" i="5"/>
  <c r="X1055" i="5"/>
  <c r="R684" i="5"/>
  <c r="X684" i="5"/>
  <c r="R749" i="5"/>
  <c r="R588" i="5"/>
  <c r="R650" i="5"/>
  <c r="R670" i="5"/>
  <c r="X670" i="5"/>
  <c r="R472" i="5"/>
  <c r="R305" i="5"/>
  <c r="H2357" i="5"/>
  <c r="F2357" i="5"/>
  <c r="X2357" i="5"/>
  <c r="R2357" i="5"/>
  <c r="J2357" i="5"/>
  <c r="I2357" i="5"/>
  <c r="F2164" i="5"/>
  <c r="X2164" i="5"/>
  <c r="X1725" i="5"/>
  <c r="I1725" i="5"/>
  <c r="H1725" i="5"/>
  <c r="F1725" i="5"/>
  <c r="R1430" i="5"/>
  <c r="X1693" i="5"/>
  <c r="I1693" i="5"/>
  <c r="H1693" i="5"/>
  <c r="F1693" i="5"/>
  <c r="X1095" i="5"/>
  <c r="X1110" i="5"/>
  <c r="X1039" i="5"/>
  <c r="X762" i="5"/>
  <c r="R679" i="5"/>
  <c r="X817" i="5"/>
  <c r="R524" i="5"/>
  <c r="X2326" i="5"/>
  <c r="I2326" i="5"/>
  <c r="F2326" i="5"/>
  <c r="H2326" i="5"/>
  <c r="J2326" i="5"/>
  <c r="J2310" i="5"/>
  <c r="I2310" i="5"/>
  <c r="R2154" i="5"/>
  <c r="J2154" i="5"/>
  <c r="I2154" i="5"/>
  <c r="H2154" i="5"/>
  <c r="R1900" i="5"/>
  <c r="I1900" i="5"/>
  <c r="X1669" i="5"/>
  <c r="I1669" i="5"/>
  <c r="H1669" i="5"/>
  <c r="F1669" i="5"/>
  <c r="X1701" i="5"/>
  <c r="I1701" i="5"/>
  <c r="H1701" i="5"/>
  <c r="F1701" i="5"/>
  <c r="R1434" i="5"/>
  <c r="R1381" i="5"/>
  <c r="X1133" i="5"/>
  <c r="R1181" i="5"/>
  <c r="X1181" i="5"/>
  <c r="X1131" i="5"/>
  <c r="X718" i="5"/>
  <c r="X983" i="5"/>
  <c r="X766" i="5"/>
  <c r="R496"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R1413" i="5"/>
  <c r="X1413" i="5"/>
  <c r="I1615" i="5"/>
  <c r="H1615" i="5"/>
  <c r="F1615" i="5"/>
  <c r="R1615" i="5"/>
  <c r="J1615" i="5"/>
  <c r="X1615" i="5"/>
  <c r="I1583" i="5"/>
  <c r="H1583" i="5"/>
  <c r="F1583" i="5"/>
  <c r="R1583" i="5"/>
  <c r="J1583" i="5"/>
  <c r="X1583" i="5"/>
  <c r="R1346" i="5"/>
  <c r="X1346" i="5"/>
  <c r="X1476" i="5"/>
  <c r="R1476" i="5"/>
  <c r="R1394" i="5"/>
  <c r="X1394" i="5"/>
  <c r="R1604" i="5"/>
  <c r="J1604" i="5"/>
  <c r="I1604" i="5"/>
  <c r="H1604" i="5"/>
  <c r="F1604" i="5"/>
  <c r="X1604" i="5"/>
  <c r="R1687" i="5"/>
  <c r="J1687" i="5"/>
  <c r="I1687" i="5"/>
  <c r="H1687" i="5"/>
  <c r="F1687" i="5"/>
  <c r="X1687" i="5"/>
  <c r="R1392" i="5"/>
  <c r="X1392" i="5"/>
  <c r="R1584" i="5"/>
  <c r="J1584" i="5"/>
  <c r="I1584" i="5"/>
  <c r="H1584" i="5"/>
  <c r="F1584" i="5"/>
  <c r="X1584" i="5"/>
  <c r="R1445" i="5"/>
  <c r="X1445" i="5"/>
  <c r="R1592" i="5"/>
  <c r="J1592" i="5"/>
  <c r="I1592" i="5"/>
  <c r="H1592" i="5"/>
  <c r="F1592" i="5"/>
  <c r="X1592" i="5"/>
  <c r="R1517" i="5"/>
  <c r="J1517" i="5"/>
  <c r="H1517" i="5"/>
  <c r="I1517" i="5"/>
  <c r="F1517" i="5"/>
  <c r="X1517" i="5"/>
  <c r="R1244" i="5"/>
  <c r="X1244" i="5"/>
  <c r="R1477" i="5"/>
  <c r="X1477" i="5"/>
  <c r="R1335" i="5"/>
  <c r="X1335" i="5"/>
  <c r="R1303" i="5"/>
  <c r="X1303" i="5"/>
  <c r="R1271" i="5"/>
  <c r="X1271" i="5"/>
  <c r="R1366" i="5"/>
  <c r="X1366" i="5"/>
  <c r="X1016" i="5"/>
  <c r="R1016" i="5"/>
  <c r="R1137" i="5"/>
  <c r="X1137" i="5"/>
  <c r="X1162" i="5"/>
  <c r="R1162" i="5"/>
  <c r="X1120" i="5"/>
  <c r="R1120" i="5"/>
  <c r="X1056" i="5"/>
  <c r="R1056" i="5"/>
  <c r="X992" i="5"/>
  <c r="R992" i="5"/>
  <c r="X1238" i="5"/>
  <c r="R1238" i="5"/>
  <c r="X988" i="5"/>
  <c r="R988" i="5"/>
  <c r="X1116" i="5"/>
  <c r="R1116" i="5"/>
  <c r="X1052" i="5"/>
  <c r="R1052" i="5"/>
  <c r="X932" i="5"/>
  <c r="R932" i="5"/>
  <c r="R914" i="5"/>
  <c r="X914" i="5"/>
  <c r="R870" i="5"/>
  <c r="X870" i="5"/>
  <c r="X863" i="5"/>
  <c r="R863" i="5"/>
  <c r="X1049" i="5"/>
  <c r="R1049" i="5"/>
  <c r="X669" i="5"/>
  <c r="R669" i="5"/>
  <c r="X637" i="5"/>
  <c r="R637" i="5"/>
  <c r="R605" i="5"/>
  <c r="R595" i="5"/>
  <c r="R583" i="5"/>
  <c r="R567" i="5"/>
  <c r="R529" i="5"/>
  <c r="R486" i="5"/>
  <c r="R467" i="5"/>
  <c r="R521" i="5"/>
  <c r="R469" i="5"/>
  <c r="R541" i="5"/>
  <c r="R509" i="5"/>
  <c r="R466" i="5"/>
  <c r="R378" i="5"/>
  <c r="R340" i="5"/>
  <c r="R394" i="5"/>
  <c r="R374" i="5"/>
  <c r="R355" i="5"/>
  <c r="R324" i="5"/>
  <c r="R300" i="5"/>
  <c r="R292" i="5"/>
  <c r="R284" i="5"/>
  <c r="R276" i="5"/>
  <c r="R268" i="5"/>
  <c r="R260" i="5"/>
  <c r="R252" i="5"/>
  <c r="R244" i="5"/>
  <c r="R236" i="5"/>
  <c r="R228" i="5"/>
  <c r="R132" i="5"/>
  <c r="R402" i="5"/>
  <c r="R204" i="5"/>
  <c r="R116" i="5"/>
  <c r="R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X1338" i="5"/>
  <c r="R1572" i="5"/>
  <c r="J1572" i="5"/>
  <c r="I1572" i="5"/>
  <c r="H1572" i="5"/>
  <c r="F1572" i="5"/>
  <c r="X1572" i="5"/>
  <c r="R1360" i="5"/>
  <c r="X1360" i="5"/>
  <c r="R1399" i="5"/>
  <c r="X1399" i="5"/>
  <c r="I1528" i="5"/>
  <c r="H1528" i="5"/>
  <c r="F1528" i="5"/>
  <c r="X1528" i="5"/>
  <c r="R1528" i="5"/>
  <c r="J1528" i="5"/>
  <c r="X1134" i="5"/>
  <c r="R1134" i="5"/>
  <c r="J1627" i="5"/>
  <c r="I1627" i="5"/>
  <c r="H1627" i="5"/>
  <c r="F1627" i="5"/>
  <c r="X1627" i="5"/>
  <c r="R1627" i="5"/>
  <c r="R1560" i="5"/>
  <c r="J1560" i="5"/>
  <c r="I1560" i="5"/>
  <c r="H1560" i="5"/>
  <c r="F1560" i="5"/>
  <c r="X1560" i="5"/>
  <c r="R1207" i="5"/>
  <c r="X1207" i="5"/>
  <c r="X1108" i="5"/>
  <c r="R1108" i="5"/>
  <c r="X1044" i="5"/>
  <c r="R1044" i="5"/>
  <c r="R1398" i="5"/>
  <c r="X1398" i="5"/>
  <c r="R1368" i="5"/>
  <c r="X1368" i="5"/>
  <c r="R1323" i="5"/>
  <c r="X1323" i="5"/>
  <c r="R1291" i="5"/>
  <c r="X1291" i="5"/>
  <c r="R1259" i="5"/>
  <c r="X1259" i="5"/>
  <c r="R1350" i="5"/>
  <c r="X1350" i="5"/>
  <c r="X1330" i="5"/>
  <c r="R1330" i="5"/>
  <c r="X1322" i="5"/>
  <c r="R1322" i="5"/>
  <c r="X1314" i="5"/>
  <c r="R1314" i="5"/>
  <c r="X1306" i="5"/>
  <c r="R1306" i="5"/>
  <c r="X1298" i="5"/>
  <c r="R1298" i="5"/>
  <c r="X1290" i="5"/>
  <c r="R1290" i="5"/>
  <c r="X1282" i="5"/>
  <c r="R1282" i="5"/>
  <c r="X1274" i="5"/>
  <c r="R1274" i="5"/>
  <c r="X1012" i="5"/>
  <c r="R1012" i="5"/>
  <c r="R1231" i="5"/>
  <c r="X1231" i="5"/>
  <c r="X911" i="5"/>
  <c r="R911" i="5"/>
  <c r="X900" i="5"/>
  <c r="R900" i="5"/>
  <c r="X1004" i="5"/>
  <c r="R1004" i="5"/>
  <c r="X895" i="5"/>
  <c r="R895" i="5"/>
  <c r="X1033" i="5"/>
  <c r="R1033" i="5"/>
  <c r="X1081" i="5"/>
  <c r="R1081" i="5"/>
  <c r="X912" i="5"/>
  <c r="R912" i="5"/>
  <c r="R858" i="5"/>
  <c r="X858" i="5"/>
  <c r="X823" i="5"/>
  <c r="R823" i="5"/>
  <c r="X868" i="5"/>
  <c r="R868" i="5"/>
  <c r="X907" i="5"/>
  <c r="R907" i="5"/>
  <c r="X695" i="5"/>
  <c r="R695" i="5"/>
  <c r="X665" i="5"/>
  <c r="R665" i="5"/>
  <c r="X633" i="5"/>
  <c r="R633" i="5"/>
  <c r="R601" i="5"/>
  <c r="R591" i="5"/>
  <c r="R577" i="5"/>
  <c r="R534" i="5"/>
  <c r="R537" i="5"/>
  <c r="R538" i="5"/>
  <c r="R522" i="5"/>
  <c r="R506" i="5"/>
  <c r="R490" i="5"/>
  <c r="R398" i="5"/>
  <c r="R362" i="5"/>
  <c r="R184" i="5"/>
  <c r="R328" i="5"/>
  <c r="R220" i="5"/>
  <c r="R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X1485" i="5"/>
  <c r="X1456" i="5"/>
  <c r="R1456" i="5"/>
  <c r="I1532" i="5"/>
  <c r="H1532" i="5"/>
  <c r="F1532" i="5"/>
  <c r="X1532" i="5"/>
  <c r="J1532" i="5"/>
  <c r="R1532" i="5"/>
  <c r="R1612" i="5"/>
  <c r="J1612" i="5"/>
  <c r="I1612" i="5"/>
  <c r="H1612" i="5"/>
  <c r="F1612" i="5"/>
  <c r="X1612" i="5"/>
  <c r="R1461" i="5"/>
  <c r="X1461" i="5"/>
  <c r="X1235" i="5"/>
  <c r="R1235" i="5"/>
  <c r="X1171" i="5"/>
  <c r="R1171" i="5"/>
  <c r="R1501" i="5"/>
  <c r="X1501" i="5"/>
  <c r="R1386" i="5"/>
  <c r="X1386" i="5"/>
  <c r="R1596" i="5"/>
  <c r="J1596" i="5"/>
  <c r="I1596" i="5"/>
  <c r="H1596" i="5"/>
  <c r="F1596" i="5"/>
  <c r="X1596" i="5"/>
  <c r="X1174" i="5"/>
  <c r="R1174" i="5"/>
  <c r="X1092" i="5"/>
  <c r="R1092" i="5"/>
  <c r="X1028" i="5"/>
  <c r="R1028" i="5"/>
  <c r="R1407" i="5"/>
  <c r="X1407" i="5"/>
  <c r="R1331" i="5"/>
  <c r="X1331" i="5"/>
  <c r="R1299" i="5"/>
  <c r="X1299" i="5"/>
  <c r="R1267" i="5"/>
  <c r="X1267" i="5"/>
  <c r="X1202" i="5"/>
  <c r="R1202" i="5"/>
  <c r="X1128" i="5"/>
  <c r="R1128" i="5"/>
  <c r="X1096" i="5"/>
  <c r="R1096" i="5"/>
  <c r="X1064" i="5"/>
  <c r="R1064" i="5"/>
  <c r="R1588" i="5"/>
  <c r="J1588" i="5"/>
  <c r="I1588" i="5"/>
  <c r="H1588" i="5"/>
  <c r="F1588" i="5"/>
  <c r="X1588" i="5"/>
  <c r="R1384" i="5"/>
  <c r="X1384" i="5"/>
  <c r="X927" i="5"/>
  <c r="R927" i="5"/>
  <c r="X1195" i="5"/>
  <c r="R1195" i="5"/>
  <c r="X972" i="5"/>
  <c r="R972" i="5"/>
  <c r="R930" i="5"/>
  <c r="X930" i="5"/>
  <c r="X985" i="5"/>
  <c r="R985" i="5"/>
  <c r="X837" i="5"/>
  <c r="R837" i="5"/>
  <c r="X657" i="5"/>
  <c r="R657" i="5"/>
  <c r="X675" i="5"/>
  <c r="R675" i="5"/>
  <c r="X659" i="5"/>
  <c r="R659" i="5"/>
  <c r="X643" i="5"/>
  <c r="R643" i="5"/>
  <c r="X627" i="5"/>
  <c r="R627" i="5"/>
  <c r="R611" i="5"/>
  <c r="R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R1401" i="5"/>
  <c r="X1401" i="5"/>
  <c r="R1295" i="5"/>
  <c r="X1295" i="5"/>
  <c r="X964" i="5"/>
  <c r="R964" i="5"/>
  <c r="X960" i="5"/>
  <c r="R960" i="5"/>
  <c r="X884" i="5"/>
  <c r="R884" i="5"/>
  <c r="X677" i="5"/>
  <c r="R677" i="5"/>
  <c r="X645" i="5"/>
  <c r="R645" i="5"/>
  <c r="R518" i="5"/>
  <c r="R493" i="5"/>
  <c r="R442" i="5"/>
  <c r="R410" i="5"/>
  <c r="R216" i="5"/>
  <c r="R120" i="5"/>
  <c r="R140" i="5"/>
  <c r="R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X1409" i="5"/>
  <c r="R1409" i="5"/>
  <c r="R1421" i="5"/>
  <c r="X1421" i="5"/>
  <c r="R1405" i="5"/>
  <c r="X1405" i="5"/>
  <c r="I1599" i="5"/>
  <c r="H1599" i="5"/>
  <c r="F1599" i="5"/>
  <c r="R1599" i="5"/>
  <c r="J1599" i="5"/>
  <c r="X1599" i="5"/>
  <c r="I1567" i="5"/>
  <c r="H1567" i="5"/>
  <c r="F1567" i="5"/>
  <c r="R1567" i="5"/>
  <c r="J1567" i="5"/>
  <c r="X1567" i="5"/>
  <c r="R1719" i="5"/>
  <c r="J1719" i="5"/>
  <c r="I1719" i="5"/>
  <c r="H1719" i="5"/>
  <c r="F1719" i="5"/>
  <c r="X1719" i="5"/>
  <c r="R1374" i="5"/>
  <c r="X1374" i="5"/>
  <c r="X1375" i="5"/>
  <c r="R1375" i="5"/>
  <c r="I1544" i="5"/>
  <c r="H1544" i="5"/>
  <c r="F1544" i="5"/>
  <c r="X1544" i="5"/>
  <c r="R1544" i="5"/>
  <c r="J1544" i="5"/>
  <c r="R1243" i="5"/>
  <c r="X1243" i="5"/>
  <c r="R1211" i="5"/>
  <c r="X1211" i="5"/>
  <c r="R1179" i="5"/>
  <c r="X1179" i="5"/>
  <c r="R1608" i="5"/>
  <c r="J1608" i="5"/>
  <c r="I1608" i="5"/>
  <c r="H1608" i="5"/>
  <c r="F1608" i="5"/>
  <c r="X1608" i="5"/>
  <c r="R1521" i="5"/>
  <c r="J1521" i="5"/>
  <c r="H1521" i="5"/>
  <c r="F1521" i="5"/>
  <c r="X1521" i="5"/>
  <c r="I1521" i="5"/>
  <c r="R1580" i="5"/>
  <c r="J1580" i="5"/>
  <c r="I1580" i="5"/>
  <c r="H1580" i="5"/>
  <c r="F1580" i="5"/>
  <c r="X1580" i="5"/>
  <c r="X1436" i="5"/>
  <c r="R1436" i="5"/>
  <c r="X1228" i="5"/>
  <c r="R1228" i="5"/>
  <c r="X1196" i="5"/>
  <c r="R1196" i="5"/>
  <c r="X1164" i="5"/>
  <c r="R1164" i="5"/>
  <c r="X1215" i="5"/>
  <c r="R1215" i="5"/>
  <c r="R1378" i="5"/>
  <c r="X1378" i="5"/>
  <c r="X1146" i="5"/>
  <c r="R1146" i="5"/>
  <c r="R1564" i="5"/>
  <c r="J1564" i="5"/>
  <c r="I1564" i="5"/>
  <c r="H1564" i="5"/>
  <c r="F1564" i="5"/>
  <c r="X1564" i="5"/>
  <c r="X1496" i="5"/>
  <c r="R1496" i="5"/>
  <c r="X1124" i="5"/>
  <c r="R1124" i="5"/>
  <c r="R1319" i="5"/>
  <c r="X1319" i="5"/>
  <c r="R1287" i="5"/>
  <c r="X1287" i="5"/>
  <c r="R1255" i="5"/>
  <c r="X1255" i="5"/>
  <c r="R1647" i="5"/>
  <c r="J1647" i="5"/>
  <c r="I1647" i="5"/>
  <c r="H1647" i="5"/>
  <c r="F1647" i="5"/>
  <c r="X1647" i="5"/>
  <c r="X1194" i="5"/>
  <c r="R1194" i="5"/>
  <c r="X1226" i="5"/>
  <c r="R1226" i="5"/>
  <c r="X1088" i="5"/>
  <c r="R1088" i="5"/>
  <c r="X1024" i="5"/>
  <c r="R1024" i="5"/>
  <c r="X1206" i="5"/>
  <c r="R1206" i="5"/>
  <c r="X1084" i="5"/>
  <c r="R1084" i="5"/>
  <c r="X1266" i="5"/>
  <c r="R1266" i="5"/>
  <c r="X968" i="5"/>
  <c r="R968" i="5"/>
  <c r="X989" i="5"/>
  <c r="R989" i="5"/>
  <c r="X1065" i="5"/>
  <c r="R1065" i="5"/>
  <c r="R866" i="5"/>
  <c r="X866" i="5"/>
  <c r="X859" i="5"/>
  <c r="R859" i="5"/>
  <c r="X980" i="5"/>
  <c r="R980" i="5"/>
  <c r="X879" i="5"/>
  <c r="R879" i="5"/>
  <c r="X653" i="5"/>
  <c r="R653" i="5"/>
  <c r="X621" i="5"/>
  <c r="R621" i="5"/>
  <c r="R575" i="5"/>
  <c r="R545" i="5"/>
  <c r="R473" i="5"/>
  <c r="R517" i="5"/>
  <c r="R475" i="5"/>
  <c r="R525" i="5"/>
  <c r="R477" i="5"/>
  <c r="R585" i="5"/>
  <c r="R346" i="5"/>
  <c r="R366" i="5"/>
  <c r="R390" i="5"/>
  <c r="R386" i="5"/>
  <c r="R367" i="5"/>
  <c r="R342" i="5"/>
  <c r="R296" i="5"/>
  <c r="R288" i="5"/>
  <c r="R280" i="5"/>
  <c r="R272" i="5"/>
  <c r="R264" i="5"/>
  <c r="R256" i="5"/>
  <c r="R248" i="5"/>
  <c r="R240" i="5"/>
  <c r="R232" i="5"/>
  <c r="R224" i="5"/>
  <c r="R382" i="5"/>
  <c r="R359" i="5"/>
  <c r="R196" i="5"/>
  <c r="R208" i="5"/>
  <c r="R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X1391" i="5"/>
  <c r="R1391" i="5"/>
  <c r="X1203" i="5"/>
  <c r="R1203" i="5"/>
  <c r="R1376" i="5"/>
  <c r="X1376" i="5"/>
  <c r="X1234" i="5"/>
  <c r="R1234" i="5"/>
  <c r="X1112" i="5"/>
  <c r="R1112" i="5"/>
  <c r="X1080" i="5"/>
  <c r="R1080" i="5"/>
  <c r="X1048" i="5"/>
  <c r="R1048" i="5"/>
  <c r="X1032" i="5"/>
  <c r="R1032" i="5"/>
  <c r="R1489" i="5"/>
  <c r="X1489" i="5"/>
  <c r="X916" i="5"/>
  <c r="R916" i="5"/>
  <c r="X956" i="5"/>
  <c r="R956" i="5"/>
  <c r="X871" i="5"/>
  <c r="R871" i="5"/>
  <c r="R874" i="5"/>
  <c r="X874" i="5"/>
  <c r="X853" i="5"/>
  <c r="R853" i="5"/>
  <c r="X818" i="5"/>
  <c r="R818" i="5"/>
  <c r="X625" i="5"/>
  <c r="R625" i="5"/>
  <c r="X687" i="5"/>
  <c r="R687" i="5"/>
  <c r="X667" i="5"/>
  <c r="R667" i="5"/>
  <c r="X651" i="5"/>
  <c r="R651" i="5"/>
  <c r="X635" i="5"/>
  <c r="R635" i="5"/>
  <c r="X619" i="5"/>
  <c r="R619" i="5"/>
  <c r="R603" i="5"/>
  <c r="R565" i="5"/>
  <c r="R501" i="5"/>
  <c r="R557" i="5"/>
  <c r="R462" i="5"/>
  <c r="R460" i="5"/>
  <c r="R375" i="5"/>
  <c r="R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X1348" i="5"/>
  <c r="R1370" i="5"/>
  <c r="X1370" i="5"/>
  <c r="X1473" i="5"/>
  <c r="R1473" i="5"/>
  <c r="X1400" i="5"/>
  <c r="R1400" i="5"/>
  <c r="R1327" i="5"/>
  <c r="X1327" i="5"/>
  <c r="X1072" i="5"/>
  <c r="R1072" i="5"/>
  <c r="X1008" i="5"/>
  <c r="R1008" i="5"/>
  <c r="X1100" i="5"/>
  <c r="R1100" i="5"/>
  <c r="X1017" i="5"/>
  <c r="R1017" i="5"/>
  <c r="X1129" i="5"/>
  <c r="R1129" i="5"/>
  <c r="X1113" i="5"/>
  <c r="R1113" i="5"/>
  <c r="X841" i="5"/>
  <c r="R841" i="5"/>
  <c r="R579" i="5"/>
  <c r="R465" i="5"/>
  <c r="R561" i="5"/>
  <c r="R549" i="5"/>
  <c r="R489" i="5"/>
  <c r="R434" i="5"/>
  <c r="R426" i="5"/>
  <c r="R370" i="5"/>
  <c r="R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R1429" i="5"/>
  <c r="X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X1440" i="5"/>
  <c r="R1440" i="5"/>
  <c r="R1505" i="5"/>
  <c r="X1505" i="5"/>
  <c r="X1343" i="5"/>
  <c r="R1343" i="5"/>
  <c r="X1223" i="5"/>
  <c r="R1223" i="5"/>
  <c r="R1616" i="5"/>
  <c r="J1616" i="5"/>
  <c r="I1616" i="5"/>
  <c r="H1616" i="5"/>
  <c r="F1616" i="5"/>
  <c r="X1616" i="5"/>
  <c r="X1247" i="5"/>
  <c r="R1247" i="5"/>
  <c r="X1460" i="5"/>
  <c r="R1460" i="5"/>
  <c r="X1750" i="5"/>
  <c r="R1750" i="5"/>
  <c r="I1750" i="5"/>
  <c r="J1750" i="5"/>
  <c r="H1750" i="5"/>
  <c r="F1750" i="5"/>
  <c r="R1251" i="5"/>
  <c r="X1251" i="5"/>
  <c r="R1568" i="5"/>
  <c r="J1568" i="5"/>
  <c r="I1568" i="5"/>
  <c r="H1568" i="5"/>
  <c r="F1568" i="5"/>
  <c r="X1568" i="5"/>
  <c r="X1060" i="5"/>
  <c r="R1060" i="5"/>
  <c r="R1315" i="5"/>
  <c r="X1315" i="5"/>
  <c r="R1283" i="5"/>
  <c r="X1283" i="5"/>
  <c r="X1484" i="5"/>
  <c r="R1484" i="5"/>
  <c r="R1180" i="5"/>
  <c r="X1180" i="5"/>
  <c r="X996" i="5"/>
  <c r="R996" i="5"/>
  <c r="X952" i="5"/>
  <c r="R952" i="5"/>
  <c r="X976" i="5"/>
  <c r="R976" i="5"/>
  <c r="X1020" i="5"/>
  <c r="R1020" i="5"/>
  <c r="X928" i="5"/>
  <c r="R928" i="5"/>
  <c r="X892" i="5"/>
  <c r="R892" i="5"/>
  <c r="R847" i="5"/>
  <c r="X847" i="5"/>
  <c r="R839" i="5"/>
  <c r="X839" i="5"/>
  <c r="X845" i="5"/>
  <c r="R845" i="5"/>
  <c r="R970" i="5"/>
  <c r="X970" i="5"/>
  <c r="R811" i="5"/>
  <c r="X811" i="5"/>
  <c r="R918" i="5"/>
  <c r="X918" i="5"/>
  <c r="X1097" i="5"/>
  <c r="R1097" i="5"/>
  <c r="X833" i="5"/>
  <c r="R833" i="5"/>
  <c r="X673" i="5"/>
  <c r="R673" i="5"/>
  <c r="X641" i="5"/>
  <c r="R641" i="5"/>
  <c r="R609" i="5"/>
  <c r="X671" i="5"/>
  <c r="R671" i="5"/>
  <c r="X663" i="5"/>
  <c r="R663" i="5"/>
  <c r="X655" i="5"/>
  <c r="R655" i="5"/>
  <c r="X647" i="5"/>
  <c r="R647" i="5"/>
  <c r="X639" i="5"/>
  <c r="R639" i="5"/>
  <c r="X631" i="5"/>
  <c r="R631" i="5"/>
  <c r="X623" i="5"/>
  <c r="R623" i="5"/>
  <c r="X615" i="5"/>
  <c r="R615" i="5"/>
  <c r="R607" i="5"/>
  <c r="R599" i="5"/>
  <c r="R513" i="5"/>
  <c r="R554" i="5"/>
  <c r="R581" i="5"/>
  <c r="R505" i="5"/>
  <c r="R597" i="5"/>
  <c r="R354" i="5"/>
  <c r="R316" i="5"/>
  <c r="R172" i="5"/>
  <c r="R160" i="5"/>
  <c r="R180" i="5"/>
  <c r="R200" i="5"/>
  <c r="R156" i="5"/>
  <c r="R308" i="5"/>
  <c r="R100" i="5"/>
  <c r="R312" i="5"/>
  <c r="R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R1390" i="5"/>
  <c r="X1390" i="5"/>
  <c r="X1404" i="5"/>
  <c r="R1404" i="5"/>
  <c r="R1354" i="5"/>
  <c r="X1354" i="5"/>
  <c r="X1183" i="5"/>
  <c r="R1183" i="5"/>
  <c r="R1263" i="5"/>
  <c r="X1263" i="5"/>
  <c r="X1254" i="5"/>
  <c r="R1254" i="5"/>
  <c r="X1036" i="5"/>
  <c r="R1036" i="5"/>
  <c r="R1167" i="5"/>
  <c r="X1167" i="5"/>
  <c r="X923" i="5"/>
  <c r="R923" i="5"/>
  <c r="R854" i="5"/>
  <c r="X854" i="5"/>
  <c r="X613" i="5"/>
  <c r="R613" i="5"/>
  <c r="R497" i="5"/>
  <c r="R458" i="5"/>
  <c r="R450" i="5"/>
  <c r="R418" i="5"/>
  <c r="R406" i="5"/>
  <c r="R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R1417" i="5"/>
  <c r="X1417" i="5"/>
  <c r="X1734" i="5"/>
  <c r="R1734" i="5"/>
  <c r="J1734" i="5"/>
  <c r="I1734" i="5"/>
  <c r="H1734" i="5"/>
  <c r="F1734" i="5"/>
  <c r="X1437" i="5"/>
  <c r="R1437" i="5"/>
  <c r="I1607" i="5"/>
  <c r="H1607" i="5"/>
  <c r="F1607" i="5"/>
  <c r="R1607" i="5"/>
  <c r="J1607" i="5"/>
  <c r="X1607" i="5"/>
  <c r="I1575" i="5"/>
  <c r="H1575" i="5"/>
  <c r="F1575" i="5"/>
  <c r="R1575" i="5"/>
  <c r="J1575" i="5"/>
  <c r="X1575" i="5"/>
  <c r="R1358" i="5"/>
  <c r="X1358" i="5"/>
  <c r="R1340" i="5"/>
  <c r="X1340" i="5"/>
  <c r="X1500" i="5"/>
  <c r="R1500" i="5"/>
  <c r="R1362" i="5"/>
  <c r="X1362" i="5"/>
  <c r="R1382" i="5"/>
  <c r="X1382" i="5"/>
  <c r="X1191" i="5"/>
  <c r="R1191" i="5"/>
  <c r="X1441" i="5"/>
  <c r="R1441" i="5"/>
  <c r="R1141" i="5"/>
  <c r="X1141" i="5"/>
  <c r="R1388" i="5"/>
  <c r="X1388" i="5"/>
  <c r="R1311" i="5"/>
  <c r="X1311" i="5"/>
  <c r="R1279" i="5"/>
  <c r="X1279" i="5"/>
  <c r="X984" i="5"/>
  <c r="R984" i="5"/>
  <c r="R1600" i="5"/>
  <c r="J1600" i="5"/>
  <c r="I1600" i="5"/>
  <c r="H1600" i="5"/>
  <c r="F1600" i="5"/>
  <c r="X1600" i="5"/>
  <c r="X1170" i="5"/>
  <c r="R1170" i="5"/>
  <c r="X1104" i="5"/>
  <c r="R1104" i="5"/>
  <c r="X1040" i="5"/>
  <c r="R1040" i="5"/>
  <c r="X1258" i="5"/>
  <c r="R1258" i="5"/>
  <c r="X1068" i="5"/>
  <c r="R1068" i="5"/>
  <c r="X1005" i="5"/>
  <c r="R1005" i="5"/>
  <c r="X947" i="5"/>
  <c r="R947" i="5"/>
  <c r="X1188" i="5"/>
  <c r="R1188" i="5"/>
  <c r="R1144" i="5"/>
  <c r="X1144" i="5"/>
  <c r="R898" i="5"/>
  <c r="X898" i="5"/>
  <c r="X903" i="5"/>
  <c r="R903" i="5"/>
  <c r="R886" i="5"/>
  <c r="X886" i="5"/>
  <c r="X661" i="5"/>
  <c r="R661" i="5"/>
  <c r="X629" i="5"/>
  <c r="R629" i="5"/>
  <c r="R587" i="5"/>
  <c r="R571" i="5"/>
  <c r="R589" i="5"/>
  <c r="R485" i="5"/>
  <c r="R553" i="5"/>
  <c r="R454" i="5"/>
  <c r="R446" i="5"/>
  <c r="R438" i="5"/>
  <c r="R430" i="5"/>
  <c r="R422" i="5"/>
  <c r="R414" i="5"/>
  <c r="R164" i="5"/>
  <c r="R339" i="5"/>
  <c r="R152" i="5"/>
  <c r="R212" i="5"/>
  <c r="R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R1433" i="5"/>
  <c r="X1433" i="5"/>
  <c r="R1425" i="5"/>
  <c r="X1425" i="5"/>
  <c r="I1595" i="5"/>
  <c r="H1595" i="5"/>
  <c r="F1595" i="5"/>
  <c r="R1595" i="5"/>
  <c r="J1595" i="5"/>
  <c r="X1595" i="5"/>
  <c r="I1563" i="5"/>
  <c r="H1563" i="5"/>
  <c r="F1563" i="5"/>
  <c r="R1563" i="5"/>
  <c r="J1563" i="5"/>
  <c r="X1563" i="5"/>
  <c r="X1472" i="5"/>
  <c r="R1472" i="5"/>
  <c r="X1444" i="5"/>
  <c r="R1444" i="5"/>
  <c r="R1415" i="5"/>
  <c r="X1415" i="5"/>
  <c r="X1359" i="5"/>
  <c r="R1359" i="5"/>
  <c r="X1420" i="5"/>
  <c r="R1420" i="5"/>
  <c r="R1576" i="5"/>
  <c r="J1576" i="5"/>
  <c r="I1576" i="5"/>
  <c r="H1576" i="5"/>
  <c r="F1576" i="5"/>
  <c r="X1576" i="5"/>
  <c r="X1428" i="5"/>
  <c r="R1428" i="5"/>
  <c r="X1159" i="5"/>
  <c r="R1159" i="5"/>
  <c r="X1150" i="5"/>
  <c r="R1150" i="5"/>
  <c r="R1239" i="5"/>
  <c r="X1239" i="5"/>
  <c r="R1175" i="5"/>
  <c r="X1175" i="5"/>
  <c r="R1556" i="5"/>
  <c r="J1556" i="5"/>
  <c r="I1556" i="5"/>
  <c r="H1556" i="5"/>
  <c r="F1556" i="5"/>
  <c r="X1556" i="5"/>
  <c r="X1076" i="5"/>
  <c r="R1076" i="5"/>
  <c r="R1307" i="5"/>
  <c r="X1307" i="5"/>
  <c r="R1275" i="5"/>
  <c r="X1275" i="5"/>
  <c r="X1457" i="5"/>
  <c r="R1457" i="5"/>
  <c r="X1000" i="5"/>
  <c r="R1000" i="5"/>
  <c r="X1334" i="5"/>
  <c r="R1334" i="5"/>
  <c r="X1326" i="5"/>
  <c r="R1326" i="5"/>
  <c r="X1318" i="5"/>
  <c r="R1318" i="5"/>
  <c r="X1310" i="5"/>
  <c r="R1310" i="5"/>
  <c r="X1302" i="5"/>
  <c r="R1302" i="5"/>
  <c r="X1294" i="5"/>
  <c r="R1294" i="5"/>
  <c r="X1286" i="5"/>
  <c r="R1286" i="5"/>
  <c r="X1278" i="5"/>
  <c r="R1278" i="5"/>
  <c r="X1270" i="5"/>
  <c r="R1270" i="5"/>
  <c r="X944" i="5"/>
  <c r="R944" i="5"/>
  <c r="X1262" i="5"/>
  <c r="R1262" i="5"/>
  <c r="X1021" i="5"/>
  <c r="R1021" i="5"/>
  <c r="R946" i="5"/>
  <c r="X946" i="5"/>
  <c r="R958" i="5"/>
  <c r="X958" i="5"/>
  <c r="X1347" i="5"/>
  <c r="R1347" i="5"/>
  <c r="R950" i="5"/>
  <c r="X950" i="5"/>
  <c r="R1153" i="5"/>
  <c r="X1153" i="5"/>
  <c r="R882" i="5"/>
  <c r="X882" i="5"/>
  <c r="R902" i="5"/>
  <c r="X902" i="5"/>
  <c r="R890" i="5"/>
  <c r="X890" i="5"/>
  <c r="X977" i="5"/>
  <c r="R977" i="5"/>
  <c r="X849" i="5"/>
  <c r="R849" i="5"/>
  <c r="X649" i="5"/>
  <c r="R649" i="5"/>
  <c r="X617" i="5"/>
  <c r="R617" i="5"/>
  <c r="X703" i="5"/>
  <c r="R703" i="5"/>
  <c r="R593" i="5"/>
  <c r="R481" i="5"/>
  <c r="R533" i="5"/>
  <c r="R569" i="5"/>
  <c r="R573" i="5"/>
  <c r="R474" i="5"/>
  <c r="R350" i="5"/>
  <c r="R108" i="5"/>
  <c r="R128" i="5"/>
  <c r="R136" i="5"/>
  <c r="R320" i="5"/>
  <c r="R112" i="5"/>
  <c r="S353" i="5"/>
  <c r="S456" i="5"/>
  <c r="S182" i="5"/>
  <c r="S141" i="5"/>
  <c r="S507" i="5"/>
  <c r="S451" i="5"/>
  <c r="S544" i="5"/>
  <c r="S174" i="5"/>
  <c r="S82" i="5"/>
  <c r="S181" i="5"/>
  <c r="S309" i="5"/>
  <c r="X589" i="5"/>
  <c r="X354" i="5"/>
  <c r="X597" i="5"/>
  <c r="X505" i="5"/>
  <c r="X599" i="5"/>
  <c r="X465" i="5"/>
  <c r="X462" i="5"/>
  <c r="X346" i="5"/>
  <c r="X140" i="5"/>
  <c r="X493" i="5"/>
  <c r="X502" i="5"/>
  <c r="X611" i="5"/>
  <c r="X220" i="5"/>
  <c r="X398" i="5"/>
  <c r="X538" i="5"/>
  <c r="X577" i="5"/>
  <c r="X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X447" i="5"/>
  <c r="X251" i="5"/>
  <c r="X365" i="5"/>
  <c r="X423" i="5"/>
  <c r="X191" i="5"/>
  <c r="X243" i="5"/>
  <c r="X403" i="5"/>
  <c r="X108" i="5"/>
  <c r="X481" i="5"/>
  <c r="X112" i="5"/>
  <c r="X569" i="5"/>
  <c r="X168" i="5"/>
  <c r="X164" i="5"/>
  <c r="X446" i="5"/>
  <c r="X553" i="5"/>
  <c r="X308" i="5"/>
  <c r="X200" i="5"/>
  <c r="X316" i="5"/>
  <c r="X144" i="5"/>
  <c r="X208" i="5"/>
  <c r="X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X438" i="5"/>
  <c r="X485" i="5"/>
  <c r="X148" i="5"/>
  <c r="X458" i="5"/>
  <c r="X513" i="5"/>
  <c r="X609" i="5"/>
  <c r="X561" i="5"/>
  <c r="X386" i="5"/>
  <c r="X545" i="5"/>
  <c r="X575" i="5"/>
  <c r="X216" i="5"/>
  <c r="X534" i="5"/>
  <c r="X355" i="5"/>
  <c r="X541" i="5"/>
  <c r="X588" i="5"/>
  <c r="X330" i="5"/>
  <c r="X391" i="5"/>
  <c r="X602" i="5"/>
  <c r="X562" i="5"/>
  <c r="X262" i="5"/>
  <c r="X350" i="5"/>
  <c r="X573" i="5"/>
  <c r="X430" i="5"/>
  <c r="X587" i="5"/>
  <c r="X450" i="5"/>
  <c r="X497" i="5"/>
  <c r="X312" i="5"/>
  <c r="X156" i="5"/>
  <c r="X358" i="5"/>
  <c r="X434" i="5"/>
  <c r="X549" i="5"/>
  <c r="X124" i="5"/>
  <c r="X603" i="5"/>
  <c r="X248" i="5"/>
  <c r="X280" i="5"/>
  <c r="X477" i="5"/>
  <c r="X184" i="5"/>
  <c r="X104" i="5"/>
  <c r="X228" i="5"/>
  <c r="X260" i="5"/>
  <c r="X292" i="5"/>
  <c r="X374" i="5"/>
  <c r="X394" i="5"/>
  <c r="X605" i="5"/>
  <c r="X279" i="5"/>
  <c r="X163" i="5"/>
  <c r="X443" i="5"/>
  <c r="X102" i="5"/>
  <c r="X189" i="5"/>
  <c r="X128" i="5"/>
  <c r="X422" i="5"/>
  <c r="X571" i="5"/>
  <c r="X418" i="5"/>
  <c r="X172" i="5"/>
  <c r="X581" i="5"/>
  <c r="X554" i="5"/>
  <c r="X607" i="5"/>
  <c r="X426" i="5"/>
  <c r="X489" i="5"/>
  <c r="X579" i="5"/>
  <c r="X557" i="5"/>
  <c r="X501" i="5"/>
  <c r="X342" i="5"/>
  <c r="X473" i="5"/>
  <c r="X442" i="5"/>
  <c r="X132" i="5"/>
  <c r="X324" i="5"/>
  <c r="X509" i="5"/>
  <c r="X303" i="5"/>
  <c r="X211" i="5"/>
  <c r="X435" i="5"/>
  <c r="X576" i="5"/>
  <c r="X43" i="5"/>
  <c r="X215" i="5"/>
  <c r="X580" i="5"/>
  <c r="X201" i="5"/>
  <c r="X556" i="5"/>
  <c r="X87" i="5"/>
  <c r="X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G69" i="6" a="1"/>
  <c r="G69" i="6"/>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296" i="5"/>
  <c r="S144" i="5"/>
  <c r="S116" i="5"/>
  <c r="S354" i="5"/>
  <c r="S287" i="5"/>
  <c r="S168" i="5"/>
  <c r="S509" i="5"/>
  <c r="S442" i="5"/>
  <c r="G68" i="6"/>
  <c r="H68" i="6"/>
  <c r="D68" i="6"/>
  <c r="C39" i="6"/>
  <c r="C35" i="6"/>
  <c r="C46" i="6"/>
  <c r="C34" i="6"/>
  <c r="D34" i="6"/>
  <c r="D31" i="6"/>
  <c r="C30" i="6"/>
  <c r="D30" i="6"/>
  <c r="C32" i="6"/>
  <c r="D32" i="6"/>
  <c r="R16" i="5"/>
  <c r="R10" i="5"/>
  <c r="R13" i="5"/>
  <c r="R7" i="5"/>
  <c r="R17" i="5"/>
  <c r="G66" i="6"/>
  <c r="H66" i="6"/>
  <c r="C66" i="6"/>
  <c r="G67" i="6"/>
  <c r="H67" i="6"/>
  <c r="D67" i="6"/>
  <c r="G65" i="6"/>
  <c r="H65" i="6"/>
  <c r="C65" i="6"/>
  <c r="R12" i="5"/>
  <c r="R9" i="5"/>
  <c r="R8" i="5"/>
  <c r="R15" i="5"/>
  <c r="R11" i="5"/>
  <c r="R14" i="5"/>
  <c r="C49" i="6"/>
  <c r="C47" i="6"/>
  <c r="C60" i="6"/>
  <c r="D60" i="6"/>
  <c r="D58" i="6"/>
  <c r="C58" i="6"/>
  <c r="D63" i="6"/>
  <c r="C63" i="6"/>
  <c r="C62" i="6"/>
  <c r="D62" i="6"/>
  <c r="C54" i="6"/>
  <c r="D54" i="6"/>
  <c r="D57" i="6"/>
  <c r="C57" i="6"/>
  <c r="F56" i="6"/>
  <c r="H56" i="6"/>
  <c r="H55" i="6"/>
  <c r="D59" i="6"/>
  <c r="C59" i="6"/>
  <c r="C68" i="6"/>
  <c r="X13" i="5"/>
  <c r="X10" i="5"/>
  <c r="D65" i="6"/>
  <c r="X9" i="5"/>
  <c r="X12" i="5"/>
  <c r="X14" i="5"/>
  <c r="X17" i="5"/>
  <c r="D66" i="6"/>
  <c r="C67" i="6"/>
  <c r="X11" i="5"/>
  <c r="X15" i="5"/>
  <c r="X8" i="5"/>
  <c r="X7" i="5"/>
  <c r="H69" i="6"/>
  <c r="H70" i="6"/>
  <c r="D2" i="6"/>
  <c r="X16" i="5"/>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<sst xmlns="http://schemas.openxmlformats.org/spreadsheetml/2006/main" count="48136" uniqueCount="17144">
  <si>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</si>
  <si>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</si>
  <si>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</si>
  <si>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</si>
  <si>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</si>
  <si>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</si>
  <si>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</si>
  <si>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</si>
  <si>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</si>
  <si>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</si>
  <si>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</si>
  <si>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</si>
  <si>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</si>
  <si>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</si>
  <si>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</si>
  <si>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</si>
  <si>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</si>
  <si>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</si>
  <si>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</si>
  <si>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</si>
  <si>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</si>
  <si>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</si>
  <si>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</si>
  <si>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</si>
  <si>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</si>
  <si>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</si>
  <si>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</si>
  <si>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</si>
  <si>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</si>
  <si>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</si>
  <si>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</si>
  <si>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</si>
  <si>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</si>
  <si>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</si>
  <si>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</si>
  <si>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</si>
  <si>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</si>
  <si>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</si>
  <si>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</si>
  <si>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</si>
  <si>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</si>
  <si>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</si>
  <si>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</si>
  <si>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</si>
  <si>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</si>
  <si>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</si>
  <si>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</si>
  <si>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</si>
  <si>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</si>
  <si>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</si>
  <si>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</si>
  <si>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</si>
  <si>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</si>
  <si>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</si>
  <si>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</si>
  <si>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</si>
  <si>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</si>
  <si>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</si>
  <si>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</si>
  <si>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</si>
  <si>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</si>
  <si>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</si>
  <si>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</si>
  <si>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</si>
  <si>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</si>
  <si>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</si>
  <si>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</si>
  <si>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</si>
  <si>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</si>
  <si>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</si>
  <si>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</si>
  <si>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</si>
  <si>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</si>
  <si>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</si>
  <si>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</si>
  <si>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</si>
  <si>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</si>
  <si>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</si>
  <si>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</si>
  <si>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</si>
  <si>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</si>
  <si>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</si>
  <si>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</si>
  <si>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</si>
  <si>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</si>
  <si>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</si>
  <si>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</si>
  <si>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</si>
  <si>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</si>
  <si>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</si>
  <si>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</si>
  <si>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</si>
  <si>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</si>
  <si>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</si>
  <si>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</si>
  <si>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</si>
  <si>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</si>
  <si>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</si>
  <si>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</si>
  <si>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</si>
  <si>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</si>
  <si>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</si>
  <si>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</si>
  <si>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</si>
  <si>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</si>
  <si>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</si>
  <si>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</si>
  <si>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</si>
  <si>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</si>
  <si>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</si>
  <si>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</si>
  <si>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</si>
  <si>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</si>
  <si>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</si>
  <si>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</si>
  <si>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</si>
  <si>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</si>
  <si>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</si>
  <si>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</si>
  <si>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</si>
  <si>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</si>
  <si>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</si>
  <si>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</si>
  <si>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</si>
  <si>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</si>
  <si>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</si>
  <si>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</si>
  <si>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</si>
  <si>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</si>
  <si>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</si>
  <si>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</si>
  <si>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</si>
  <si>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</si>
  <si>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</si>
  <si>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</si>
  <si>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</si>
  <si>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</si>
  <si>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</si>
  <si>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</si>
  <si>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</si>
  <si>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</si>
  <si>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</si>
  <si>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</si>
  <si>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</si>
  <si>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</si>
  <si>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</si>
  <si>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</si>
  <si>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</si>
  <si>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</si>
  <si>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</si>
  <si>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</si>
  <si>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</si>
  <si>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</si>
  <si>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</si>
  <si>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</si>
  <si>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</si>
  <si>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</si>
  <si>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</si>
  <si>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</si>
  <si>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</si>
  <si>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</si>
  <si>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</si>
  <si>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</si>
  <si>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</si>
  <si>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</si>
  <si>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</si>
  <si>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</si>
  <si>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</si>
  <si>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</si>
  <si>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</si>
  <si>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</si>
  <si>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</si>
  <si>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</si>
  <si>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</si>
  <si>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</si>
  <si>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</si>
  <si>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</si>
  <si>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</si>
  <si>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</si>
  <si>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</si>
  <si>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</si>
  <si>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</si>
  <si>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</si>
  <si>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</si>
  <si>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</si>
  <si>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</si>
  <si>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</si>
  <si>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</si>
  <si>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</si>
  <si>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</si>
  <si>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</si>
  <si>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</si>
  <si>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</si>
  <si>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</si>
  <si>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</si>
  <si>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</si>
  <si>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</si>
  <si>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</si>
  <si>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</si>
  <si>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</si>
  <si>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</si>
  <si>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</si>
  <si>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</si>
  <si>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</si>
  <si>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</si>
  <si>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</si>
  <si>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</si>
  <si>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</si>
  <si>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</si>
  <si>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</si>
  <si>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</si>
  <si>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</si>
  <si>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</si>
  <si>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</si>
  <si>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</si>
  <si>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</si>
  <si>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</si>
  <si>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</si>
  <si>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</si>
  <si>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</si>
  <si>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</si>
  <si>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</si>
  <si>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</si>
  <si>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</si>
  <si>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</si>
  <si>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</si>
  <si>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</si>
  <si>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</si>
  <si>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</si>
  <si>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</si>
  <si>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</si>
  <si>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</si>
  <si>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</si>
  <si>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</si>
  <si>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</si>
  <si>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</si>
  <si>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</si>
  <si>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</si>
  <si>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</si>
  <si>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</si>
  <si>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</si>
  <si>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</si>
  <si>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</si>
  <si>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</si>
  <si>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</si>
  <si>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</si>
  <si>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</si>
  <si>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</si>
  <si>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</si>
  <si>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</si>
  <si>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</si>
  <si>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</si>
  <si>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</si>
  <si>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</si>
  <si>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</si>
  <si>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</si>
  <si>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</si>
  <si>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</si>
  <si>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</si>
  <si>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</si>
  <si>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</si>
  <si>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</si>
  <si>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</si>
  <si>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</si>
  <si>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</si>
  <si>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</si>
  <si>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</si>
  <si>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</si>
  <si>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</si>
  <si>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</si>
  <si>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</si>
  <si>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</si>
  <si>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</si>
  <si>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</si>
  <si>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</si>
  <si>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</si>
  <si>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</si>
  <si>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</si>
  <si>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</si>
  <si>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</si>
  <si>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</si>
  <si>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</si>
  <si>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</si>
  <si>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</si>
  <si>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</si>
  <si>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</si>
  <si>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</si>
  <si>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</si>
  <si>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</si>
  <si>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</si>
  <si>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</si>
  <si>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</si>
  <si>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</si>
  <si>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</si>
  <si>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</si>
  <si>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</si>
  <si>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</si>
  <si>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</si>
  <si>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</si>
  <si>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</si>
  <si>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</si>
  <si>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</si>
  <si>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</si>
  <si>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</si>
  <si>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</si>
  <si>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</si>
  <si>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</si>
  <si>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</si>
  <si>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</si>
  <si>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</si>
  <si>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</si>
  <si>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</si>
  <si>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</si>
  <si>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</si>
  <si>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</si>
  <si>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</si>
  <si>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</si>
  <si>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</si>
  <si>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</si>
  <si>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</si>
  <si>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</si>
  <si>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</si>
  <si>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</si>
  <si>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</si>
  <si>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</si>
  <si>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</si>
  <si>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</si>
  <si>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</si>
  <si>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</si>
  <si>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</si>
  <si>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</si>
  <si>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</si>
  <si>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</si>
  <si>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</si>
  <si>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</si>
  <si>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</si>
  <si>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</si>
  <si>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</si>
  <si>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</si>
  <si>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</si>
  <si>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</si>
  <si>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</si>
  <si>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</si>
  <si>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</si>
  <si>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</si>
  <si>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</si>
  <si>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</si>
  <si>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</si>
  <si>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</si>
  <si>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</si>
  <si>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</si>
  <si>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</si>
  <si>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</si>
  <si>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</si>
  <si>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</si>
  <si>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</si>
  <si>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</si>
  <si>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</si>
  <si>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</si>
  <si>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</si>
  <si>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</si>
  <si>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</si>
  <si>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</si>
  <si>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</si>
  <si>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</si>
  <si>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</si>
  <si>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</si>
  <si>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</si>
  <si>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</si>
  <si>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</si>
  <si>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</si>
  <si>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</si>
  <si>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</si>
  <si>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</si>
  <si>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</si>
  <si>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</si>
  <si>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</si>
  <si>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</si>
  <si>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</si>
  <si>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</si>
  <si>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</si>
  <si>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</si>
  <si>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</si>
  <si>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</si>
  <si>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</si>
  <si>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</si>
  <si>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</si>
  <si>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</si>
  <si>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</si>
  <si>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</si>
  <si>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</si>
  <si>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</si>
  <si>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</si>
  <si>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</si>
  <si>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</si>
  <si>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</si>
  <si>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</si>
  <si>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</si>
  <si>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</si>
  <si>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</si>
  <si>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</si>
  <si>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</si>
  <si>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</si>
  <si>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</si>
  <si>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</si>
  <si>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</si>
  <si>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</si>
  <si>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</si>
  <si>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</si>
  <si>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</si>
  <si>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</si>
  <si>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</si>
  <si>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</si>
  <si>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</si>
  <si>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</si>
  <si>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</si>
  <si>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</si>
  <si>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</si>
  <si>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</si>
  <si>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</si>
  <si>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</si>
  <si>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</si>
  <si>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</si>
  <si>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</si>
  <si>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</si>
  <si>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</si>
  <si>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</si>
  <si>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</si>
  <si>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</si>
  <si>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</si>
  <si>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</si>
  <si>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</si>
  <si>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</si>
  <si>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</si>
  <si>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</si>
  <si>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</si>
  <si>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</si>
  <si>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</si>
  <si>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</si>
  <si>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</si>
  <si>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</si>
  <si>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</si>
  <si>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</si>
  <si>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</si>
  <si>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</si>
  <si>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</si>
  <si>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</si>
  <si>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</si>
  <si>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</si>
  <si>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</si>
  <si>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</si>
  <si>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</si>
  <si>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</si>
  <si>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</si>
  <si>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</si>
  <si>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</si>
  <si>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</si>
  <si>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</si>
  <si>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</si>
  <si>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</si>
  <si>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</si>
  <si>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</si>
  <si>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</si>
  <si>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</si>
  <si>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</si>
  <si>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</si>
  <si>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</si>
  <si>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</si>
  <si>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</si>
  <si>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</si>
  <si>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</si>
  <si>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</si>
  <si>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</si>
  <si>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</si>
  <si>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</si>
  <si>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</si>
  <si>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</si>
  <si>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</si>
  <si>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</si>
  <si>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</si>
  <si>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</si>
  <si>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</si>
  <si>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</si>
  <si>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</si>
  <si>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</si>
  <si>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</si>
  <si>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</si>
  <si>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</si>
  <si>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</si>
  <si>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</si>
  <si>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</si>
  <si>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</si>
  <si>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</si>
  <si>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</si>
  <si>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</si>
  <si>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</si>
  <si>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</si>
  <si>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</si>
  <si>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</si>
  <si>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</si>
  <si>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</si>
  <si>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</si>
  <si>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</si>
  <si>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</si>
  <si>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</si>
  <si>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</si>
  <si>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</si>
  <si>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</si>
  <si>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</si>
  <si>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</si>
  <si>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</si>
  <si>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</si>
  <si>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</si>
  <si>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</si>
  <si>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</si>
  <si>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</si>
  <si>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</si>
  <si>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</si>
  <si>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</si>
  <si>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</si>
  <si>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</si>
  <si>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</si>
  <si>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</si>
  <si>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</si>
  <si>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</si>
  <si>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</si>
  <si>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</si>
  <si>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</si>
  <si>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</si>
  <si>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</si>
  <si>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</si>
  <si>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</si>
  <si>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</si>
  <si>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</si>
  <si>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</si>
  <si>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</si>
  <si>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</si>
  <si>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</si>
  <si>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</si>
  <si>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</si>
  <si>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</si>
  <si>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</si>
  <si>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</si>
  <si>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</si>
  <si>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</si>
  <si>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</si>
  <si>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</si>
  <si>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</si>
  <si>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</si>
  <si>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</si>
  <si>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</si>
  <si>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</si>
  <si>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</si>
  <si>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</si>
  <si>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</si>
  <si>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</si>
  <si>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</si>
  <si>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</si>
  <si>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</si>
  <si>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</si>
  <si>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</si>
  <si>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</si>
  <si>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</si>
  <si>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</si>
  <si>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</si>
  <si>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</si>
  <si>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</si>
  <si>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</si>
  <si>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</si>
  <si>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</si>
  <si>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</si>
  <si>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</si>
  <si>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</si>
  <si>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</si>
  <si>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</si>
  <si>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</si>
  <si>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</si>
  <si>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</si>
  <si>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</si>
  <si>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</si>
  <si>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</si>
  <si>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</si>
  <si>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</si>
  <si>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</si>
  <si>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</si>
  <si>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</si>
  <si>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</si>
  <si>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</si>
  <si>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</si>
  <si>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</si>
  <si>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</si>
  <si>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</si>
  <si>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</si>
  <si>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</si>
  <si>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</si>
  <si>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</si>
  <si>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</si>
  <si>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</si>
  <si>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</si>
  <si>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</si>
  <si>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</si>
  <si>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</si>
  <si>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</si>
  <si>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</si>
  <si>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</si>
  <si>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</si>
  <si>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</si>
  <si>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</si>
  <si>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</si>
  <si>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</si>
  <si>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</si>
  <si>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</si>
  <si>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</si>
  <si>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</si>
  <si>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</si>
  <si>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</si>
  <si>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</si>
  <si>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</si>
  <si>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</si>
  <si>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</si>
  <si>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</si>
  <si>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</si>
  <si>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</si>
  <si>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</si>
  <si>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</si>
  <si>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</si>
  <si>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</si>
  <si>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</si>
  <si>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</si>
  <si>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</si>
  <si>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</si>
  <si>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</si>
  <si>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</si>
  <si>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</si>
  <si>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</si>
  <si>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</si>
  <si>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</si>
  <si>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</si>
  <si>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</si>
  <si>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</si>
  <si>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</si>
  <si>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</si>
  <si>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</si>
  <si>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</si>
  <si>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</si>
  <si>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</si>
  <si>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</si>
  <si>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</si>
  <si>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</si>
  <si>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</si>
  <si>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</si>
  <si>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</si>
  <si>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</si>
  <si>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</si>
  <si>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</si>
  <si>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</si>
  <si>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</si>
  <si>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</si>
  <si>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</si>
  <si>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</si>
  <si>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</si>
  <si>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</si>
  <si>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</si>
  <si>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</si>
  <si>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</si>
  <si>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</si>
  <si>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</si>
  <si>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</si>
  <si>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</si>
  <si>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</si>
  <si>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</si>
  <si>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</si>
  <si>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</si>
  <si>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</si>
  <si>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</si>
  <si>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</si>
  <si>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</si>
  <si>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</si>
  <si>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</si>
  <si>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</si>
  <si>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</si>
  <si>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</si>
  <si>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</si>
  <si>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</si>
  <si>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</si>
  <si>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</si>
  <si>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</si>
  <si>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</si>
  <si>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</si>
  <si>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</si>
  <si>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</si>
  <si>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</si>
  <si>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</si>
  <si>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</si>
  <si>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</si>
  <si>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</si>
  <si>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</si>
  <si>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</si>
  <si>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</si>
  <si>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</si>
  <si>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</si>
  <si>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</si>
  <si>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</si>
  <si>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</si>
  <si>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</si>
  <si>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</si>
  <si>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</si>
  <si>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</si>
  <si>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</si>
  <si>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</si>
  <si>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</si>
  <si>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</si>
  <si>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</si>
  <si>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</si>
  <si>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</si>
  <si>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</si>
  <si>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</si>
  <si>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</si>
  <si>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</si>
  <si>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</si>
  <si>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</si>
  <si>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</si>
  <si>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</si>
  <si>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</si>
  <si>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</si>
  <si>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</si>
  <si>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</si>
  <si>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</si>
  <si>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</si>
  <si>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</si>
  <si>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</si>
  <si>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</si>
  <si>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</si>
  <si>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</si>
  <si>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</si>
  <si>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</si>
  <si>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</si>
  <si>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</si>
  <si>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</si>
  <si>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</si>
  <si>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</si>
  <si>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</si>
  <si>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</si>
  <si>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</si>
  <si>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</si>
  <si>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</si>
  <si>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</si>
  <si>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</si>
  <si>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</si>
  <si>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</si>
  <si>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</si>
  <si>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</si>
  <si>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</si>
  <si>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</si>
  <si>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</si>
  <si>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</si>
  <si>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</si>
  <si>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</si>
  <si>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</si>
  <si>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</si>
  <si>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</si>
  <si>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</si>
  <si>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</si>
  <si>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</si>
  <si>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</si>
  <si>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</si>
  <si>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</si>
  <si>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</si>
  <si>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</si>
  <si>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</si>
  <si>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</si>
  <si>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</si>
  <si>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</si>
  <si>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</si>
  <si>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</si>
  <si>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</si>
  <si>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</si>
  <si>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</si>
  <si>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</si>
  <si>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</si>
  <si>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</si>
  <si>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</si>
  <si>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</si>
  <si>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</si>
  <si>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</si>
  <si>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</si>
  <si>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</si>
  <si>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</si>
  <si>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</si>
  <si>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</si>
  <si>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</si>
  <si>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</si>
  <si>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</si>
  <si>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</si>
  <si>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</si>
  <si>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</si>
  <si>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</si>
  <si>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</si>
  <si>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</si>
  <si>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</si>
  <si>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</si>
  <si>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</si>
  <si>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</si>
  <si>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</si>
  <si>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</si>
  <si>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</si>
  <si>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</si>
  <si>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</si>
  <si>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</si>
  <si>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</si>
  <si>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</si>
  <si>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</si>
  <si>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</si>
  <si>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</si>
  <si>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</si>
  <si>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</si>
  <si>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</si>
  <si>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</si>
  <si>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</si>
  <si>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</si>
  <si>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</si>
  <si>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</si>
  <si>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</si>
  <si>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</si>
  <si>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</si>
  <si>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</si>
  <si>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</si>
  <si>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</si>
  <si>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</si>
  <si>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</si>
  <si>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</si>
  <si>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</si>
  <si>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</si>
  <si>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</si>
  <si>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</si>
  <si>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</si>
  <si>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</si>
  <si>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</si>
  <si>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</si>
  <si>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</si>
  <si>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</si>
  <si>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</si>
  <si>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</si>
  <si>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</si>
  <si>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</si>
  <si>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</si>
  <si>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</si>
  <si>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</si>
  <si>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</si>
  <si>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</si>
  <si>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</si>
  <si>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</si>
  <si>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</si>
  <si>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</si>
  <si>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</si>
  <si>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</si>
  <si>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</si>
  <si>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</si>
  <si>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</si>
  <si>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</si>
  <si>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</si>
  <si>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</si>
  <si>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</si>
  <si>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</si>
  <si>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</si>
  <si>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</si>
  <si>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</si>
  <si>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</si>
  <si>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</si>
  <si>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</si>
  <si>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</si>
  <si>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</si>
  <si>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</si>
  <si>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</si>
  <si>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</si>
  <si>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</si>
  <si>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</si>
  <si>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</si>
  <si>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</si>
  <si>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</si>
  <si>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</si>
  <si>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</si>
  <si>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</si>
  <si>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</si>
  <si>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</si>
  <si>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</si>
  <si>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</si>
  <si>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</si>
  <si>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</si>
  <si>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</si>
  <si>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</si>
  <si>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</si>
  <si>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</si>
  <si>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</si>
  <si>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</si>
  <si>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</si>
  <si>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</si>
  <si>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</si>
  <si>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</si>
  <si>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</si>
  <si>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</si>
  <si>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</si>
  <si>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</si>
  <si>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</si>
  <si>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</si>
  <si>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</si>
  <si>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</si>
  <si>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</si>
  <si>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</si>
  <si>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</si>
  <si>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</si>
  <si>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</si>
  <si>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</si>
  <si>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</si>
  <si>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</si>
  <si>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</si>
  <si>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</si>
  <si>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</si>
  <si>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</si>
  <si>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</si>
  <si>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</si>
  <si>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</si>
  <si>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</si>
  <si>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</si>
  <si>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</si>
  <si>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</si>
  <si>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</si>
  <si>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</si>
  <si>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</si>
  <si>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</si>
  <si>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</si>
  <si>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</si>
  <si>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</si>
  <si>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</si>
  <si>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</si>
  <si>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</si>
  <si>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</si>
  <si>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</si>
  <si>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</si>
  <si>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</si>
  <si>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</si>
  <si>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</si>
  <si>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</si>
  <si>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</si>
  <si>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</si>
  <si>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</si>
  <si>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</si>
  <si>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</si>
  <si>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</si>
  <si>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</si>
  <si>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</si>
  <si>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</si>
  <si>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</si>
  <si>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</si>
  <si>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</si>
  <si>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</si>
  <si>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</si>
  <si>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</si>
  <si>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</si>
  <si>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</si>
  <si>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</si>
  <si>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</si>
  <si>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</si>
  <si>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</si>
  <si>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</si>
  <si>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</si>
  <si>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</si>
  <si>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</si>
  <si>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</si>
  <si>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</si>
  <si>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</si>
  <si>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</si>
  <si>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</si>
  <si>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</si>
  <si>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</si>
  <si>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</si>
  <si>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</si>
  <si>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</si>
  <si>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</si>
  <si>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</si>
  <si>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</si>
  <si>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</si>
  <si>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</si>
  <si>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</si>
  <si>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</si>
  <si>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</si>
  <si>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</si>
  <si>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</si>
  <si>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</si>
  <si>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</si>
  <si>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</si>
  <si>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</si>
  <si>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</si>
  <si>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</si>
  <si>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</si>
  <si>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</si>
  <si>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</si>
  <si>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</si>
  <si>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</si>
  <si>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</si>
  <si>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</si>
  <si>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</si>
  <si>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</si>
  <si>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</si>
  <si>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</si>
  <si>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</si>
  <si>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</si>
  <si>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</si>
  <si>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</si>
  <si>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</si>
  <si>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</si>
  <si>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</si>
  <si>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</si>
  <si>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</si>
  <si>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</si>
  <si>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</si>
  <si>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</si>
  <si>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</si>
  <si>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</si>
  <si>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</si>
  <si>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</si>
  <si>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</si>
  <si>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</si>
  <si>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</si>
  <si>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</si>
  <si>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</si>
  <si>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</si>
  <si>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</si>
  <si>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</si>
  <si>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</si>
  <si>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</si>
  <si>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</si>
  <si>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</si>
  <si>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</si>
  <si>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</si>
  <si>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</si>
  <si>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</si>
  <si>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</si>
  <si>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</si>
  <si>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</si>
  <si>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</si>
  <si>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</si>
  <si>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</si>
  <si>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</si>
  <si>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</si>
  <si>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</si>
  <si>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</si>
  <si>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</si>
  <si>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</si>
  <si>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</si>
  <si>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</si>
  <si>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</si>
  <si>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</si>
  <si>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</si>
  <si>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</si>
  <si>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</si>
  <si>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</si>
  <si>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</si>
  <si>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</si>
  <si>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</si>
  <si>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</si>
  <si>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</si>
  <si>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</si>
  <si>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</si>
  <si>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</si>
  <si>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</si>
  <si>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</si>
  <si>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</si>
  <si>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</si>
  <si>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</si>
  <si>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</si>
  <si>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</si>
  <si>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</si>
  <si>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</si>
  <si>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</si>
  <si>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</si>
  <si>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</si>
  <si>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</si>
  <si>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</si>
  <si>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</si>
  <si>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</si>
  <si>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</si>
  <si>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</si>
  <si>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</si>
  <si>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</si>
  <si>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</si>
  <si>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</si>
  <si>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</si>
  <si>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</si>
  <si>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</si>
  <si>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</si>
  <si>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</si>
  <si>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</si>
  <si>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</si>
  <si>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</si>
  <si>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</si>
  <si>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</si>
  <si>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</si>
  <si>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</si>
  <si>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</si>
  <si>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</si>
  <si>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</si>
  <si>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</si>
  <si>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</si>
  <si>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</si>
  <si>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</si>
  <si>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</si>
  <si>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</si>
  <si>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</si>
  <si>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</si>
  <si>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</si>
  <si>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</si>
  <si>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</si>
  <si>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</si>
  <si>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</si>
  <si>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</si>
  <si>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</si>
  <si>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</si>
  <si>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</si>
  <si>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</si>
  <si>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</si>
  <si>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</si>
  <si>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</si>
  <si>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</si>
  <si>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</si>
  <si>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</si>
  <si>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</si>
  <si>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</si>
  <si>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</si>
  <si>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</si>
  <si>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</si>
  <si>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</si>
  <si>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</si>
  <si>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</si>
  <si>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</si>
  <si>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</si>
  <si>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</si>
  <si>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</si>
  <si>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</si>
  <si>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</si>
  <si>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</si>
  <si>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</si>
  <si>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</si>
  <si>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</si>
  <si>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</si>
  <si>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</si>
  <si>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</si>
  <si>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</si>
  <si>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</si>
  <si>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</si>
  <si>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</si>
  <si>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</si>
  <si>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</si>
  <si>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</si>
  <si>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</si>
  <si>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</si>
  <si>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</si>
  <si>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</si>
  <si>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</si>
  <si>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</si>
  <si>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</si>
  <si>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</si>
  <si>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</si>
  <si>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</si>
  <si>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</si>
  <si>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</si>
  <si>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</si>
  <si>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</si>
  <si>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</si>
  <si>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</si>
  <si>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</si>
  <si>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</si>
  <si>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</si>
  <si>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</si>
  <si>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</si>
  <si>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</si>
  <si>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</si>
  <si>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</si>
  <si>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</si>
  <si>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</si>
  <si>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</si>
  <si>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</si>
  <si>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</si>
  <si>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</si>
  <si>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</si>
  <si>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</si>
  <si>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</si>
  <si>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</si>
  <si>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</si>
  <si>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</si>
  <si>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</si>
  <si>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</si>
  <si>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</si>
  <si>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</si>
  <si>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</si>
  <si>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</si>
  <si>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</si>
  <si>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</si>
  <si>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</si>
  <si>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</si>
  <si>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</si>
  <si>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</si>
  <si>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</si>
  <si>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</si>
  <si>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</si>
  <si>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</si>
  <si>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</si>
  <si>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</si>
  <si>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</si>
  <si>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</si>
  <si>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</si>
  <si>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</si>
  <si>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</si>
  <si>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</si>
  <si>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</si>
  <si>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</si>
  <si>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</si>
  <si>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</si>
  <si>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</si>
  <si>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</si>
  <si>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</si>
  <si>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</si>
  <si>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</si>
  <si>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</si>
  <si>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</si>
  <si>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</si>
  <si>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</si>
  <si>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</si>
  <si>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</si>
  <si>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</si>
  <si>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</si>
  <si>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</si>
  <si>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</si>
  <si>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</si>
  <si>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</si>
  <si>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</si>
  <si>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</si>
  <si>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</si>
  <si>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</si>
  <si>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</si>
  <si>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</si>
  <si>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</si>
  <si>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</si>
  <si>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</si>
  <si>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</si>
  <si>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</si>
  <si>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</si>
  <si>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</si>
  <si>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</si>
  <si>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</si>
  <si>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</si>
  <si>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</si>
  <si>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</si>
  <si>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</si>
  <si>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</si>
  <si>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</si>
  <si>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</si>
  <si>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</si>
  <si>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</si>
  <si>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</si>
  <si>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</si>
  <si>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</si>
  <si>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</si>
  <si>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</si>
  <si>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</si>
  <si>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</si>
  <si>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</si>
  <si>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</si>
  <si>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</si>
  <si>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</si>
  <si>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</si>
  <si>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</si>
  <si>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</si>
  <si>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</si>
  <si>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</si>
  <si>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</si>
  <si>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</si>
  <si>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</si>
  <si>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</si>
  <si>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</si>
  <si>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</si>
  <si>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</si>
  <si>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</si>
  <si>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</si>
  <si>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</si>
  <si>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</si>
  <si>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</si>
  <si>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</si>
  <si>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</si>
  <si>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</si>
  <si>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</si>
  <si>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</si>
  <si>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</si>
  <si>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</si>
  <si>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</si>
  <si>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</si>
  <si>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</si>
  <si>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</si>
  <si>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</si>
  <si>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</si>
  <si>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</si>
  <si>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</si>
  <si>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</si>
  <si>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</si>
  <si>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</si>
  <si>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</si>
  <si>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</si>
  <si>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</si>
  <si>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</si>
  <si>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</si>
  <si>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</si>
  <si>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</si>
  <si>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</si>
  <si>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</si>
  <si>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</si>
  <si>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</si>
  <si>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</si>
  <si>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</si>
  <si>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</si>
  <si>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</si>
  <si>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</si>
  <si>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</si>
  <si>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</si>
  <si>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</si>
  <si>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</si>
  <si>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</si>
  <si>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</si>
  <si>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</si>
  <si>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</si>
  <si>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</si>
  <si>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</si>
  <si>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</si>
  <si>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</si>
  <si>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</si>
  <si>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</si>
  <si>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</si>
  <si>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</si>
  <si>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</si>
  <si>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</si>
  <si>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</si>
  <si>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</si>
  <si>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</si>
  <si>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</si>
  <si>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</si>
  <si>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</si>
  <si>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</si>
  <si>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</si>
  <si>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</si>
  <si>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</si>
  <si>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</si>
  <si>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</si>
  <si>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</si>
  <si>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</si>
  <si>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</si>
  <si>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</si>
  <si>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</si>
  <si>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</si>
  <si>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</si>
  <si>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</si>
  <si>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</si>
  <si>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</si>
  <si>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</si>
  <si>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</si>
  <si>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</si>
  <si>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</si>
  <si>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</si>
  <si>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</si>
  <si>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</si>
  <si>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</si>
  <si>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</si>
  <si>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</si>
  <si>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</si>
  <si>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</si>
  <si>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</si>
  <si>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</si>
  <si>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</si>
  <si>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</si>
  <si>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</si>
  <si>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</si>
  <si>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</si>
  <si>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</si>
  <si>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</si>
  <si>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</si>
  <si>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</si>
  <si>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</si>
  <si>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</si>
  <si>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</si>
  <si>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</si>
  <si>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</si>
  <si>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</si>
  <si>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</si>
  <si>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</si>
  <si>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</si>
  <si>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</si>
  <si>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</si>
  <si>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</si>
  <si>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</si>
  <si>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</si>
  <si>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</si>
  <si>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</si>
  <si>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</si>
  <si>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</si>
  <si>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</si>
  <si>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</si>
  <si>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</si>
  <si>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</si>
  <si>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</si>
  <si>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</si>
  <si>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</si>
  <si>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</si>
  <si>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</si>
  <si>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</si>
  <si>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</si>
  <si>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</si>
  <si>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</si>
  <si>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</si>
  <si>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</si>
  <si>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</si>
  <si>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</si>
  <si>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</si>
  <si>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</si>
  <si>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</si>
  <si>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</si>
  <si>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</si>
  <si>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</si>
  <si>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</si>
  <si>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</si>
  <si>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</si>
  <si>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</si>
  <si>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</si>
  <si>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</si>
  <si>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</si>
  <si>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</si>
  <si>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</si>
  <si>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</si>
  <si>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</si>
  <si>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</si>
  <si>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</si>
  <si>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</si>
  <si>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</si>
  <si>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</si>
  <si>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</si>
  <si>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</si>
  <si>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</si>
  <si>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</si>
  <si>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</si>
  <si>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</si>
  <si>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</si>
  <si>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</si>
  <si>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</si>
  <si>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</si>
  <si>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</si>
  <si>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</si>
  <si>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</si>
  <si>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</si>
  <si>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</si>
  <si>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</si>
  <si>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</si>
  <si>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</si>
  <si>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</si>
  <si>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</si>
  <si>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</si>
  <si>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</si>
  <si>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</si>
  <si>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</si>
  <si>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</si>
  <si>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</si>
  <si>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</si>
  <si>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</si>
  <si>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</si>
  <si>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</si>
  <si>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</si>
  <si>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</si>
  <si>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</si>
  <si>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</si>
  <si>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</si>
  <si>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</si>
  <si>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</si>
  <si>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</si>
  <si>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</si>
  <si>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</si>
  <si>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</si>
  <si>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</si>
  <si>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</si>
  <si>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</si>
  <si>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</si>
  <si>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</si>
  <si>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</si>
  <si>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</si>
  <si>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</si>
  <si>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</si>
  <si>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</si>
  <si>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</si>
  <si>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</si>
  <si>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</si>
  <si>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</si>
  <si>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</si>
  <si>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</si>
  <si>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</si>
  <si>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</si>
  <si>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</si>
  <si>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</si>
  <si>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</si>
  <si>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</si>
  <si>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</si>
  <si>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</si>
  <si>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</si>
  <si>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</si>
  <si>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</si>
  <si>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</si>
  <si>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</si>
  <si>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</si>
  <si>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</si>
  <si>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</si>
  <si>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</si>
  <si>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</si>
  <si>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</si>
  <si>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</si>
  <si>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</si>
  <si>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</si>
  <si>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</si>
  <si>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</si>
  <si>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</si>
  <si>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</si>
  <si>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</si>
  <si>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</si>
  <si>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</si>
  <si>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</si>
  <si>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</si>
  <si>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</si>
  <si>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</si>
  <si>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</si>
  <si>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</si>
  <si>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</si>
  <si>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</si>
  <si>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</si>
  <si>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</si>
  <si>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</si>
  <si>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</si>
  <si>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</si>
  <si>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</si>
  <si>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</si>
  <si>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</si>
  <si>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</si>
  <si>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</si>
  <si>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</si>
  <si>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</si>
  <si>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</si>
  <si>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</si>
  <si>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</si>
  <si>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</si>
  <si>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</si>
  <si>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</si>
  <si>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</si>
  <si>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</si>
  <si>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</si>
  <si>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</si>
  <si>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</si>
  <si>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</si>
  <si>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</si>
  <si>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</si>
  <si>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</si>
  <si>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</si>
  <si>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</si>
  <si>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</si>
  <si>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</si>
  <si>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</si>
  <si>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</si>
  <si>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</si>
  <si>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</si>
  <si>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</si>
  <si>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</si>
  <si>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</si>
  <si>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</si>
  <si>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</si>
  <si>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</si>
  <si>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</si>
  <si>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</si>
  <si>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</si>
  <si>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</si>
  <si>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</si>
  <si>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</si>
  <si>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</si>
  <si>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</si>
  <si>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</si>
  <si>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</si>
  <si>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</si>
  <si>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</si>
  <si>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</si>
  <si>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</si>
  <si>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</si>
  <si>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</si>
  <si>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</si>
  <si>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</si>
  <si>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</si>
  <si>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</si>
  <si>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</si>
  <si>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</si>
  <si>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</si>
  <si>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</si>
  <si>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</si>
  <si>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</si>
  <si>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</si>
  <si>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</si>
  <si>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</si>
  <si>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</si>
  <si>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</si>
  <si>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</si>
  <si>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</si>
  <si>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</si>
  <si>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</si>
  <si>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</si>
  <si>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</si>
  <si>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</si>
  <si>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</si>
  <si>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</si>
  <si>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</si>
  <si>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</si>
  <si>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</si>
  <si>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</si>
  <si>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</si>
  <si>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</si>
  <si>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</si>
  <si>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</si>
  <si>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</si>
  <si>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</si>
  <si>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</si>
  <si>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</si>
  <si>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</si>
  <si>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</si>
  <si>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</si>
  <si>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</si>
  <si>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</si>
  <si>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</si>
  <si>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</si>
  <si>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</si>
  <si>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</si>
  <si>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</si>
  <si>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</si>
  <si>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</si>
  <si>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</si>
  <si>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</si>
  <si>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</si>
  <si>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</si>
  <si>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</si>
  <si>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</si>
  <si>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</si>
  <si>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</si>
  <si>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</si>
  <si>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</si>
  <si>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</si>
  <si>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</si>
  <si>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</si>
  <si>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</si>
  <si>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</si>
  <si>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</si>
  <si>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</si>
  <si>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</si>
  <si>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</si>
  <si>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</si>
  <si>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</si>
  <si>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</si>
  <si>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</si>
  <si>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</si>
  <si>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</si>
  <si>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</si>
  <si>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</si>
  <si>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</si>
  <si>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</si>
  <si>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</si>
  <si>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</si>
  <si>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</si>
  <si>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</si>
  <si>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</si>
  <si>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</si>
  <si>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</si>
  <si>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</si>
  <si>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</si>
  <si>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</si>
  <si>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</si>
  <si>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</si>
  <si>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</si>
  <si>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</si>
  <si>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</si>
  <si>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</si>
  <si>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</si>
  <si>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</si>
  <si>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</si>
  <si>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</si>
  <si>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</si>
  <si>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</si>
  <si>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</si>
  <si>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</si>
  <si>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</si>
  <si>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</si>
  <si>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</si>
  <si>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</si>
  <si>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</si>
  <si>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</si>
  <si>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</si>
  <si>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</si>
  <si>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</si>
  <si>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</si>
  <si>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</si>
  <si>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</si>
  <si>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</si>
  <si>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</si>
  <si>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</si>
  <si>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</si>
  <si>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</si>
  <si>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</si>
  <si>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</si>
  <si>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</si>
  <si>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</si>
  <si>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</si>
  <si>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</si>
  <si>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</si>
  <si>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</si>
  <si>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</si>
  <si>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</si>
  <si>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</si>
  <si>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</si>
  <si>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</si>
  <si>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</si>
  <si>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</si>
  <si>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</si>
  <si>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</si>
  <si>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</si>
  <si>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</si>
  <si>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</si>
  <si>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</si>
  <si>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</si>
  <si>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</si>
  <si>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</si>
  <si>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</si>
  <si>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</si>
  <si>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</si>
  <si>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</si>
  <si>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</si>
  <si>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</si>
  <si>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</si>
  <si>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</si>
  <si>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</si>
  <si>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</si>
  <si>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</si>
  <si>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</si>
  <si>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</si>
  <si>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</si>
  <si>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</si>
  <si>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</si>
  <si>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</si>
  <si>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</si>
  <si>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</si>
  <si>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</si>
  <si>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</si>
  <si>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</si>
  <si>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</si>
  <si>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</si>
  <si>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</si>
  <si>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</si>
  <si>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</si>
  <si>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</si>
  <si>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</si>
  <si>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</si>
  <si>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</si>
  <si>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</si>
  <si>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</si>
  <si>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</si>
  <si>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</si>
  <si>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</si>
  <si>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</si>
  <si>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</si>
  <si>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</si>
  <si>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</si>
  <si>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</si>
  <si>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</si>
  <si>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</si>
  <si>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</si>
  <si>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</si>
  <si>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</si>
  <si>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</si>
  <si>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</si>
  <si>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</si>
  <si>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</si>
  <si>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</si>
  <si>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</si>
  <si>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</si>
  <si>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</si>
  <si>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</si>
  <si>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</si>
  <si>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</si>
  <si>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</si>
  <si>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</si>
  <si>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</si>
  <si>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</si>
  <si>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</si>
  <si>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</si>
  <si>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</si>
  <si>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</si>
  <si>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</si>
  <si>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</si>
  <si>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</si>
  <si>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</si>
  <si>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</si>
  <si>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</si>
  <si>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</si>
  <si>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</si>
  <si>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</si>
  <si>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</si>
  <si>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</si>
  <si>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</si>
  <si>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</si>
  <si>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</si>
  <si>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</si>
  <si>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</si>
  <si>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</si>
  <si>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</si>
  <si>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</si>
  <si>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</si>
  <si>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</si>
  <si>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</si>
  <si>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</si>
  <si>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</si>
  <si>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</si>
  <si>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</si>
  <si>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</si>
  <si>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</si>
  <si>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</si>
  <si>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</si>
  <si>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</si>
  <si>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</si>
  <si>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</si>
  <si>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</si>
  <si>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</si>
  <si>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</si>
  <si>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</si>
  <si>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</si>
  <si>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</si>
  <si>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</si>
  <si>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</si>
  <si>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</si>
  <si>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</si>
  <si>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</si>
  <si>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</si>
  <si>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</si>
  <si>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</si>
  <si>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</si>
  <si>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</si>
  <si>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</si>
  <si>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</si>
  <si>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</si>
  <si>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</si>
  <si>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</si>
  <si>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</si>
  <si>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</si>
  <si>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</si>
  <si>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</si>
  <si>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</si>
  <si>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</si>
  <si>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</si>
  <si>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</si>
  <si>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</si>
  <si>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</si>
  <si>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</si>
  <si>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</si>
  <si>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</si>
  <si>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</si>
  <si>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</si>
  <si>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</si>
  <si>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</si>
  <si>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</si>
  <si>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</si>
  <si>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</si>
  <si>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</si>
  <si>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</si>
  <si>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</si>
  <si>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</si>
  <si>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</si>
  <si>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</si>
  <si>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</si>
  <si>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</si>
  <si>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</si>
  <si>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</si>
  <si>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</si>
  <si>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</si>
  <si>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</si>
  <si>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</si>
  <si>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</si>
  <si>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</si>
  <si>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</si>
  <si>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</si>
  <si>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</si>
  <si>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</si>
  <si>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</si>
  <si>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</si>
  <si>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</si>
  <si>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</si>
  <si>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</si>
  <si>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</si>
  <si>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</si>
  <si>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</si>
  <si>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</si>
  <si>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</si>
  <si>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</si>
  <si>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</si>
  <si>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</si>
  <si>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</si>
  <si>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</si>
  <si>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</si>
  <si>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</si>
  <si>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</si>
  <si>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</si>
  <si>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</si>
  <si>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</si>
  <si>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</si>
  <si>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</si>
  <si>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</si>
  <si>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</si>
  <si>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</si>
  <si>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</si>
  <si>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</si>
  <si>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</si>
  <si>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</si>
  <si>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</si>
  <si>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</si>
  <si>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</si>
  <si>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</si>
  <si>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</si>
  <si>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</si>
  <si>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</si>
  <si>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</si>
  <si>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</si>
  <si>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</si>
  <si>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</si>
  <si>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</si>
  <si>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</si>
  <si>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</si>
  <si>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</si>
  <si>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</si>
  <si>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</si>
  <si>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</si>
  <si>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</si>
  <si>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</si>
  <si>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</si>
  <si>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</si>
  <si>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</si>
  <si>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</si>
  <si>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</si>
  <si>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</si>
  <si>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</si>
  <si>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</si>
  <si>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</si>
  <si>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</si>
  <si>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</si>
  <si>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</si>
  <si>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</si>
  <si>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</si>
  <si>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</si>
  <si>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</si>
  <si>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</si>
  <si>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</si>
  <si>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</si>
  <si>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</si>
  <si>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</si>
  <si>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</si>
  <si>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</si>
  <si>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</si>
  <si>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</si>
  <si>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</si>
  <si>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</si>
  <si>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</si>
  <si>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</si>
  <si>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</si>
  <si>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</si>
  <si>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</si>
  <si>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</si>
  <si>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</si>
  <si>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</si>
  <si>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</si>
  <si>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</si>
  <si>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</si>
  <si>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</si>
  <si>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</si>
  <si>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</si>
  <si>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</si>
  <si>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</si>
  <si>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</si>
  <si>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</si>
  <si>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</si>
  <si>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</si>
  <si>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</si>
  <si>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</si>
  <si>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</si>
  <si>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</si>
  <si>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</si>
  <si>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</si>
  <si>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</si>
  <si>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</si>
  <si>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</si>
  <si>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</si>
  <si>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</si>
  <si>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</si>
  <si>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</si>
  <si>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</si>
  <si>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</si>
  <si>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</si>
  <si>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</si>
  <si>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</si>
  <si>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</si>
  <si>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</si>
  <si>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</si>
  <si>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</si>
  <si>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</si>
  <si>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</si>
  <si>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</si>
  <si>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</si>
  <si>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</si>
  <si>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</si>
  <si>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</si>
  <si>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</si>
  <si>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</si>
  <si>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</si>
  <si>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</si>
  <si>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</si>
  <si>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</si>
  <si>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</si>
  <si>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</si>
  <si>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</si>
  <si>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</si>
  <si>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</si>
  <si>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</si>
  <si>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</si>
  <si>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</si>
  <si>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</si>
  <si>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</si>
  <si>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</si>
  <si>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</si>
  <si>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</si>
  <si>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</si>
  <si>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</si>
  <si>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</si>
  <si>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</si>
  <si>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</si>
  <si>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</si>
  <si>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</si>
  <si>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</si>
  <si>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</si>
  <si>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</si>
  <si>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</si>
  <si>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</si>
  <si>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</si>
  <si>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</si>
  <si>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</si>
  <si>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</si>
  <si>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</si>
  <si>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</si>
  <si>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</si>
  <si>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</si>
  <si>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</si>
  <si>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</si>
  <si>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</si>
  <si>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</si>
  <si>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</si>
  <si>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</si>
  <si>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</si>
  <si>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</si>
  <si>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</si>
  <si>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</si>
  <si>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</si>
  <si>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</si>
  <si>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</si>
  <si>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</si>
  <si>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</si>
  <si>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</si>
  <si>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</si>
  <si>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</si>
  <si>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</si>
  <si>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</si>
  <si>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</si>
  <si>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</si>
  <si>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</si>
  <si>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</si>
  <si>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</si>
  <si>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</si>
  <si>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</si>
  <si>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</si>
  <si>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</si>
  <si>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</si>
  <si>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</si>
  <si>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</si>
  <si>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</si>
  <si>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</si>
  <si>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</si>
  <si>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</si>
  <si>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</si>
  <si>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</si>
  <si>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</si>
  <si>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</si>
  <si>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</si>
  <si>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</si>
  <si>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</si>
  <si>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</si>
  <si>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</si>
  <si>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</si>
  <si>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</si>
  <si>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</si>
  <si>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</si>
  <si>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</si>
  <si>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</si>
  <si>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</si>
  <si>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</si>
  <si>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</si>
  <si>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</si>
  <si>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</si>
  <si>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</si>
  <si>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</si>
  <si>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</si>
  <si>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</si>
  <si>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</si>
  <si>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</si>
  <si>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</si>
  <si>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</si>
  <si>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</si>
  <si>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</si>
  <si>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</si>
  <si>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</si>
  <si>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</si>
  <si>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</si>
  <si>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</si>
  <si>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</si>
  <si>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</si>
  <si>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</si>
  <si>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</si>
  <si>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</si>
  <si>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</si>
  <si>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</si>
  <si>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</si>
  <si>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</si>
  <si>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</si>
  <si>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</si>
  <si>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</si>
  <si>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</si>
  <si>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</si>
  <si>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</si>
  <si>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</si>
  <si>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</si>
  <si>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</si>
  <si>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</si>
  <si>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</si>
  <si>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</si>
  <si>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</si>
  <si>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</si>
  <si>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</si>
  <si>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</si>
  <si>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</si>
  <si>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</si>
  <si>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</si>
  <si>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</si>
  <si>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</si>
  <si>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</si>
  <si>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</si>
  <si>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</si>
  <si>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</si>
  <si>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</si>
  <si>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</si>
  <si>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</si>
  <si>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</si>
  <si>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</si>
  <si>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</si>
  <si>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</si>
  <si>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</si>
  <si>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</si>
  <si>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</si>
  <si>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</si>
  <si>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</si>
  <si>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</si>
  <si>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</si>
  <si>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</si>
  <si>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</si>
  <si>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</si>
  <si>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</si>
  <si>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</si>
  <si>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</si>
  <si>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</si>
  <si>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</si>
  <si>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</si>
  <si>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</si>
  <si>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</si>
  <si>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</si>
  <si>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</si>
  <si>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</si>
  <si>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</si>
  <si>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</si>
  <si>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</si>
  <si>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</si>
  <si>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</si>
  <si>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</si>
  <si>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</si>
  <si>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</si>
  <si>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</si>
  <si>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</si>
  <si>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</si>
  <si>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</si>
  <si>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</si>
  <si>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</si>
  <si>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</si>
  <si>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</si>
  <si>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</si>
  <si>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</si>
  <si>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</si>
  <si>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</si>
  <si>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</si>
  <si>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</si>
  <si>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</si>
  <si>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</si>
  <si>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</si>
  <si>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</si>
  <si>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</si>
  <si>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</si>
  <si>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</si>
  <si>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</si>
  <si>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</si>
  <si>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</si>
  <si>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</si>
  <si>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</si>
  <si>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</si>
  <si>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</si>
  <si>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</si>
  <si>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</si>
  <si>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</si>
  <si>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</si>
  <si>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</si>
  <si>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</si>
  <si>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</si>
  <si>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</si>
  <si>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</si>
  <si>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</si>
  <si>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</si>
  <si>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</si>
  <si>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</si>
  <si>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</si>
  <si>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</si>
  <si>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</si>
  <si>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</si>
  <si>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</si>
  <si>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</si>
  <si>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</si>
  <si>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</si>
  <si>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</si>
  <si>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</si>
  <si>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</si>
  <si>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</si>
  <si>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</si>
  <si>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</si>
  <si>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</si>
  <si>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</si>
  <si>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</si>
  <si>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</si>
  <si>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</si>
  <si>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</si>
  <si>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</si>
  <si>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</si>
  <si>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</si>
  <si>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</si>
  <si>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</si>
  <si>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</si>
  <si>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</si>
  <si>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</si>
  <si>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</si>
  <si>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</si>
  <si>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</si>
  <si>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</si>
  <si>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</si>
  <si>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</si>
  <si>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</si>
  <si>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</si>
  <si>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</si>
  <si>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</si>
  <si>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</si>
  <si>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</si>
  <si>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</si>
  <si>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</si>
  <si>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</si>
  <si>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</si>
  <si>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</si>
  <si>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</si>
  <si>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</si>
  <si>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</si>
  <si>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</si>
  <si>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</si>
  <si>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</si>
  <si>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</si>
  <si>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</si>
  <si>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</si>
  <si>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</si>
  <si>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</si>
  <si>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</si>
  <si>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</si>
  <si>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</si>
  <si>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</si>
  <si>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</si>
  <si>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</si>
  <si>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</si>
  <si>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</si>
  <si>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</si>
  <si>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</si>
  <si>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</si>
  <si>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</si>
  <si>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</si>
  <si>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</si>
  <si>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</si>
  <si>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</si>
  <si>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</si>
  <si>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</si>
  <si>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</si>
  <si>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</si>
  <si>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</si>
  <si>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</si>
  <si>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</si>
  <si>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</si>
  <si>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</si>
  <si>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</si>
  <si>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</si>
  <si>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</si>
  <si>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</si>
  <si>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</si>
  <si>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</si>
  <si>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</si>
  <si>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</si>
  <si>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</si>
  <si>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</si>
  <si>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</si>
  <si>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</si>
  <si>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</si>
  <si>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</si>
  <si>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</si>
  <si>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</si>
  <si>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</si>
  <si>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</si>
  <si>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</si>
  <si>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</si>
  <si>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</si>
  <si>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</si>
  <si>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</si>
  <si>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</si>
  <si>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</si>
  <si>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</si>
  <si>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</si>
  <si>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</si>
  <si>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</si>
  <si>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</si>
  <si>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</si>
  <si>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</si>
  <si>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</si>
  <si>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</si>
  <si>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</si>
  <si>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</si>
  <si>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</si>
  <si>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</si>
  <si>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</si>
  <si>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</si>
  <si>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</si>
  <si>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</si>
  <si>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</si>
  <si>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</si>
  <si>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</si>
  <si>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</si>
  <si>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</si>
  <si>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</si>
  <si>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</si>
  <si>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</si>
  <si>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</si>
  <si>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</si>
  <si>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</si>
  <si>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</si>
  <si>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</si>
  <si>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</si>
  <si>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</si>
  <si>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</si>
  <si>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</si>
  <si>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</si>
  <si>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</si>
  <si>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</si>
  <si>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</si>
  <si>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</si>
  <si>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</si>
  <si>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</si>
  <si>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</si>
  <si>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</si>
  <si>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</si>
  <si>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</si>
  <si>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</si>
  <si>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</si>
  <si>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</si>
  <si>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</si>
  <si>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</si>
  <si>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</si>
  <si>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</si>
  <si>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</si>
  <si>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</si>
  <si>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</si>
  <si>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</si>
  <si>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</si>
  <si>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</si>
  <si>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</si>
  <si>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</si>
  <si>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</si>
  <si>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</si>
  <si>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</si>
  <si>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</si>
  <si>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</si>
  <si>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</si>
  <si>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</si>
  <si>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</si>
  <si>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</si>
  <si>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</si>
  <si>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</si>
  <si>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</si>
  <si>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</si>
  <si>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</si>
  <si>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</si>
  <si>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</si>
  <si>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</si>
  <si>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</si>
  <si>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</si>
  <si>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</si>
  <si>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</si>
  <si>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</si>
  <si>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</si>
  <si>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</si>
  <si>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</si>
  <si>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</si>
  <si>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</si>
  <si>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</si>
  <si>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</si>
  <si>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</si>
  <si>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</si>
  <si>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</si>
  <si>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</si>
  <si>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</si>
  <si>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</si>
  <si>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</si>
  <si>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</si>
  <si>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</si>
  <si>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</si>
  <si>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</si>
  <si>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</si>
  <si>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</si>
  <si>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</si>
  <si>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</si>
  <si>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</si>
  <si>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</si>
  <si>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</si>
  <si>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</si>
  <si>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</si>
  <si>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</si>
  <si>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</si>
  <si>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</si>
  <si>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</si>
  <si>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</si>
  <si>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</si>
  <si>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</si>
  <si>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</si>
  <si>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</si>
  <si>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</si>
  <si>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</si>
  <si>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</si>
  <si>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</si>
  <si>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</si>
  <si>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</si>
  <si>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</si>
  <si>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</si>
  <si>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</si>
  <si>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</si>
  <si>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</si>
  <si>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</si>
  <si>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</si>
  <si>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</si>
  <si>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</si>
  <si>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</si>
  <si>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</si>
  <si>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</si>
  <si>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</si>
  <si>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</si>
  <si>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</si>
  <si>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</si>
  <si>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</si>
  <si>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</si>
  <si>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</si>
  <si>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</si>
  <si>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</si>
  <si>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</si>
  <si>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</si>
  <si>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</si>
  <si>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</si>
  <si>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</si>
  <si>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</si>
  <si>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</si>
  <si>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</si>
  <si>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</si>
  <si>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</si>
  <si>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</si>
  <si>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</si>
  <si>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</si>
  <si>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</si>
  <si>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</si>
  <si>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</si>
  <si>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</si>
  <si>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</si>
  <si>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</si>
  <si>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</si>
  <si>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</si>
  <si>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</si>
  <si>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</si>
  <si>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</si>
  <si>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</si>
  <si>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</si>
  <si>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</si>
  <si>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</si>
  <si>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</si>
  <si>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</si>
  <si>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</si>
  <si>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</si>
  <si>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</si>
  <si>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</si>
  <si>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</si>
  <si>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</si>
  <si>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</si>
  <si>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</si>
  <si>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</si>
  <si>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</si>
  <si>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</si>
  <si>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</si>
  <si>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</si>
  <si>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</si>
  <si>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</si>
  <si>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</si>
  <si>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</si>
  <si>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</si>
  <si>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</si>
  <si>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</si>
  <si>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</si>
  <si>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</si>
  <si>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</si>
  <si>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</si>
  <si>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</si>
  <si>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</si>
  <si>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</si>
  <si>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</si>
  <si>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</si>
  <si>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</si>
  <si>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</si>
  <si>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</si>
  <si>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</si>
  <si>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</si>
  <si>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</si>
  <si>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</si>
  <si>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</si>
  <si>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</si>
  <si>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</si>
  <si>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</si>
  <si>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</si>
  <si>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</si>
  <si>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</si>
  <si>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</si>
  <si>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</si>
  <si>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</si>
  <si>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</si>
  <si>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</si>
  <si>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</si>
  <si>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</si>
  <si>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</si>
  <si>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</si>
  <si>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</si>
  <si>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</si>
  <si>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</si>
  <si>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</si>
  <si>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</si>
  <si>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</si>
  <si>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</si>
  <si>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</si>
  <si>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</si>
  <si>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</si>
  <si>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</si>
  <si>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</si>
  <si>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</si>
  <si>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</si>
  <si>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</si>
  <si>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</si>
  <si>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</si>
  <si>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</si>
  <si>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</si>
  <si>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</si>
  <si>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</si>
  <si>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</si>
  <si>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</si>
  <si>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</si>
  <si>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</si>
  <si>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</si>
  <si>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</si>
  <si>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</si>
  <si>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</si>
  <si>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</si>
  <si>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</si>
  <si>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</si>
  <si>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</si>
  <si>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</si>
  <si>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</si>
  <si>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</si>
  <si>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</si>
  <si>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</si>
  <si>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</si>
  <si>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</si>
  <si>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</si>
  <si>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</si>
  <si>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</si>
  <si>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</si>
  <si>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</si>
  <si>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</si>
  <si>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</si>
  <si>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</si>
  <si>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</si>
  <si>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</si>
  <si>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</si>
  <si>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</si>
  <si>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</si>
  <si>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</si>
  <si>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</si>
  <si>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</si>
  <si>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</si>
  <si>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</si>
  <si>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</si>
  <si>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</si>
  <si>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</si>
  <si>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</si>
  <si>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</si>
  <si>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</si>
  <si>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</si>
  <si>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</si>
  <si>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</si>
  <si>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</si>
  <si>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</si>
  <si>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</si>
  <si>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</si>
  <si>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</si>
  <si>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</si>
  <si>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</si>
  <si>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</si>
  <si>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</si>
  <si>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</si>
  <si>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</si>
  <si>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</si>
  <si>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</si>
  <si>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</si>
  <si>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</si>
  <si>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</si>
  <si>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</si>
  <si>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</si>
  <si>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</si>
  <si>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</si>
  <si>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</si>
  <si>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</si>
  <si>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</si>
  <si>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</si>
  <si>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</si>
  <si>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</si>
  <si>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</si>
  <si>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</si>
  <si>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</si>
  <si>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</si>
  <si>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</si>
  <si>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</si>
  <si>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</si>
  <si>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</si>
  <si>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</si>
  <si>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</si>
  <si>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</si>
  <si>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</si>
  <si>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</si>
  <si>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</si>
  <si>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</si>
  <si>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</si>
  <si>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</si>
  <si>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</si>
  <si>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</si>
  <si>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</si>
  <si>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</si>
  <si>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</si>
  <si>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</si>
  <si>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</si>
  <si>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</si>
  <si>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</si>
  <si>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</si>
  <si>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</si>
  <si>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</si>
  <si>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</si>
  <si>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</si>
  <si>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</si>
  <si>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</si>
  <si>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</si>
  <si>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</si>
  <si>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</si>
  <si>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</si>
  <si>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</si>
  <si>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</si>
  <si>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</si>
  <si>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</si>
  <si>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</si>
  <si>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</si>
  <si>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</si>
  <si>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</si>
  <si>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</si>
  <si>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</si>
  <si>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</si>
  <si>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</si>
  <si>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</si>
  <si>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</si>
  <si>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</si>
  <si>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</si>
  <si>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</si>
  <si>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</si>
  <si>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</si>
  <si>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</si>
  <si>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</si>
  <si>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</si>
  <si>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</si>
  <si>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</si>
  <si>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</si>
  <si>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</si>
  <si>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</si>
  <si>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</si>
  <si>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</si>
  <si>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</si>
  <si>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</si>
  <si>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</si>
  <si>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</si>
  <si>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</si>
  <si>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</si>
  <si>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</si>
  <si>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</si>
  <si>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</si>
  <si>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</si>
  <si>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</si>
  <si>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</si>
  <si>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</si>
  <si>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</si>
  <si>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</si>
  <si>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</si>
  <si>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</si>
  <si>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</si>
  <si>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</si>
  <si>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</si>
  <si>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</si>
  <si>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</si>
  <si>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</si>
  <si>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</si>
  <si>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</si>
  <si>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</si>
  <si>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</si>
  <si>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</si>
  <si>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</si>
  <si>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</si>
  <si>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</si>
  <si>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</si>
  <si>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</si>
  <si>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</si>
  <si>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</si>
  <si>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</si>
  <si>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</si>
  <si>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</si>
  <si>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</si>
  <si>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</si>
  <si>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</si>
  <si>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</si>
  <si>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</si>
  <si>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</si>
  <si>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</si>
  <si>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</si>
  <si>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</si>
  <si>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</si>
  <si>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</si>
  <si>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</si>
  <si>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</si>
  <si>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</si>
  <si>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</si>
  <si>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</si>
  <si>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</si>
  <si>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</si>
  <si>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</si>
  <si>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</si>
  <si>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</si>
  <si>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</si>
  <si>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</si>
  <si>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</si>
  <si>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</si>
  <si>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</si>
  <si>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</si>
  <si>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</si>
  <si>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</si>
  <si>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</si>
  <si>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</si>
  <si>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</si>
  <si>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</si>
  <si>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</si>
  <si>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</si>
  <si>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</si>
  <si>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</si>
  <si>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</si>
  <si>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</si>
  <si>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</si>
  <si>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</si>
  <si>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</si>
  <si>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</si>
  <si>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</si>
  <si>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</si>
  <si>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</si>
  <si>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</si>
  <si>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</si>
  <si>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</si>
  <si>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</si>
  <si>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</si>
  <si>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</si>
  <si>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</si>
  <si>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</si>
  <si>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</si>
  <si>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</si>
  <si>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</si>
  <si>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</si>
  <si>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</si>
  <si>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</si>
  <si>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</si>
  <si>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</si>
  <si>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</si>
  <si>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</si>
  <si>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</si>
  <si>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</si>
  <si>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</si>
  <si>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</si>
  <si>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</si>
  <si>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</si>
  <si>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</si>
  <si>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</si>
  <si>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</si>
  <si>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</si>
  <si>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</si>
  <si>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</si>
  <si>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</si>
  <si>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</si>
  <si>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</si>
  <si>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</si>
  <si>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</si>
  <si>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</si>
  <si>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</si>
  <si>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</si>
  <si>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</si>
  <si>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</si>
  <si>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</si>
  <si>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</si>
  <si>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</si>
  <si>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</si>
  <si>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</si>
  <si>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</si>
  <si>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</si>
  <si>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</si>
  <si>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</si>
  <si>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</si>
  <si>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</si>
  <si>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</si>
  <si>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</si>
  <si>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</si>
  <si>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</si>
  <si>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</si>
  <si>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</si>
  <si>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</si>
  <si>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</si>
  <si>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</si>
  <si>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</si>
  <si>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</si>
  <si>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</si>
  <si>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</si>
  <si>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</si>
  <si>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</si>
  <si>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</si>
  <si>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</si>
  <si>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</si>
  <si>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</si>
  <si>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</si>
  <si>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</si>
  <si>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</si>
  <si>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</si>
  <si>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</si>
  <si>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</si>
  <si>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</si>
  <si>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</si>
  <si>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</si>
  <si>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</si>
  <si>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</si>
  <si>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</si>
  <si>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</si>
  <si>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</si>
  <si>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</si>
  <si>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</si>
  <si>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</si>
  <si>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</si>
  <si>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</si>
  <si>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</si>
  <si>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</si>
  <si>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</si>
  <si>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</si>
  <si>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</si>
  <si>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</si>
  <si>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</si>
  <si>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</si>
  <si>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</si>
  <si>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</si>
  <si>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</si>
  <si>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</si>
  <si>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</si>
  <si>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</si>
  <si>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</si>
  <si>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</si>
  <si>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</si>
  <si>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</si>
  <si>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</si>
  <si>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</si>
  <si>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</si>
  <si>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</si>
  <si>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</si>
  <si>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</si>
  <si>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</si>
  <si>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</si>
  <si>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</si>
  <si>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</si>
  <si>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</si>
  <si>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</si>
  <si>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</si>
  <si>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</si>
  <si>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</si>
  <si>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</si>
  <si>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</si>
  <si>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</si>
  <si>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</si>
  <si>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</si>
  <si>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</si>
  <si>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</si>
  <si>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</si>
  <si>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</si>
  <si>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</si>
  <si>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</si>
  <si>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</si>
  <si>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</si>
  <si>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</si>
  <si>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</si>
  <si>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</si>
  <si>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</si>
  <si>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</si>
  <si>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</si>
  <si>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</si>
  <si>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</si>
  <si>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</si>
  <si>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</si>
  <si>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</si>
  <si>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</si>
  <si>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</si>
  <si>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</si>
  <si>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</si>
  <si>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</si>
  <si>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</si>
  <si>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</si>
  <si>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</si>
  <si>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</si>
  <si>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</si>
  <si>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</si>
  <si>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</si>
  <si>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</si>
  <si>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</si>
  <si>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</si>
  <si>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</si>
  <si>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</si>
  <si>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</si>
  <si>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</si>
  <si>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</si>
  <si>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</si>
  <si>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</si>
  <si>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</si>
  <si>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</si>
  <si>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</si>
  <si>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</si>
  <si>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</si>
  <si>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</si>
  <si>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</si>
  <si>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</si>
  <si>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</si>
  <si>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</si>
  <si>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</si>
  <si>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</si>
  <si>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</si>
  <si>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</si>
  <si>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</si>
  <si>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</si>
  <si>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</si>
  <si>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</si>
  <si>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</si>
  <si>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</si>
  <si>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</si>
  <si>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</si>
  <si>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</si>
  <si>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</si>
  <si>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</si>
  <si>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</si>
  <si>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</si>
  <si>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</si>
  <si>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</si>
  <si>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</si>
  <si>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</si>
  <si>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</si>
  <si>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</si>
  <si>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</si>
  <si>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</si>
  <si>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</si>
  <si>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</si>
  <si>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</si>
  <si>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</si>
  <si>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</si>
  <si>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</si>
  <si>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</si>
  <si>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</si>
  <si>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</si>
  <si>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</si>
  <si>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</si>
  <si>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</si>
  <si>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</si>
  <si>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</si>
  <si>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</si>
  <si>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</si>
  <si>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</si>
  <si>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</si>
  <si>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</si>
  <si>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</si>
  <si>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</si>
  <si>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</si>
  <si>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</si>
  <si>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</si>
  <si>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</si>
  <si>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</si>
  <si>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</si>
  <si>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</si>
  <si>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</si>
  <si>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</si>
  <si>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</si>
  <si>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</si>
  <si>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</si>
  <si>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</si>
  <si>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</si>
  <si>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</si>
  <si>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</si>
  <si>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</si>
  <si>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</si>
  <si>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</si>
  <si>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</si>
  <si>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</si>
  <si>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</si>
  <si>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</si>
  <si>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</si>
  <si>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</si>
  <si>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</si>
  <si>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</si>
  <si>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</si>
  <si>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</si>
  <si>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</si>
  <si>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</si>
  <si>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</si>
  <si>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</si>
  <si>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</si>
  <si>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</si>
  <si>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</si>
  <si>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</si>
  <si>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</si>
  <si>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</si>
  <si>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</si>
  <si>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</si>
  <si>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</si>
  <si>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</si>
  <si>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</si>
  <si>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</si>
  <si>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</si>
  <si>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</si>
  <si>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</si>
  <si>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</si>
  <si>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</si>
  <si>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</si>
  <si>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</si>
  <si>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</si>
  <si>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</si>
  <si>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</si>
  <si>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</si>
  <si>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</si>
  <si>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</si>
  <si>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</si>
  <si>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</si>
  <si>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</si>
  <si>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</si>
  <si>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</si>
  <si>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</si>
  <si>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</si>
  <si>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</si>
  <si>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</si>
  <si>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</si>
  <si>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</si>
  <si>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</si>
  <si>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</si>
  <si>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</si>
  <si>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</si>
  <si>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</si>
  <si>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</si>
  <si>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</si>
  <si>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</si>
  <si>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</si>
  <si>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</si>
  <si>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</si>
  <si>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</si>
  <si>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</si>
  <si>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</si>
  <si>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</si>
  <si>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</si>
  <si>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</si>
  <si>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</si>
  <si>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</si>
  <si>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</si>
  <si>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</si>
  <si>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</si>
  <si>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</si>
  <si>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</si>
  <si>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</si>
  <si>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</si>
  <si>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</si>
  <si>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</si>
  <si>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</si>
  <si>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</si>
  <si>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</si>
  <si>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</si>
  <si>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</si>
  <si>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</si>
  <si>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</si>
  <si>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</si>
  <si>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</si>
  <si>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</si>
  <si>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</si>
  <si>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</si>
  <si>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</si>
  <si>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</si>
  <si>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</si>
  <si>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</si>
  <si>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</si>
  <si>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</si>
  <si>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</si>
  <si>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</si>
  <si>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</si>
  <si>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</si>
  <si>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</si>
  <si>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</si>
  <si>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</si>
  <si>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</si>
  <si>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</si>
  <si>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</si>
  <si>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</si>
  <si>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</si>
  <si>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</si>
  <si>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</si>
  <si>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</si>
  <si>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</si>
  <si>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</si>
  <si>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</si>
  <si>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</si>
  <si>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</si>
  <si>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</si>
  <si>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</si>
  <si>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</si>
  <si>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</si>
  <si>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</si>
  <si>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</si>
  <si>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</si>
  <si>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</si>
  <si>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</si>
  <si>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</si>
  <si>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</si>
  <si>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</si>
  <si>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</si>
  <si>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</si>
  <si>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</si>
  <si>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</si>
  <si>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</si>
  <si>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</si>
  <si>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</si>
  <si>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</si>
  <si>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</si>
  <si>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</si>
  <si>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</si>
  <si>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</si>
  <si>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</si>
  <si>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</si>
  <si>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</si>
  <si>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</si>
  <si>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</si>
  <si>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</si>
  <si>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</si>
  <si>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</si>
  <si>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</si>
  <si>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</si>
  <si>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</si>
  <si>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</si>
  <si>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</si>
  <si>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</si>
  <si>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</si>
  <si>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</si>
  <si>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</si>
  <si>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</si>
  <si>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</si>
  <si>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</si>
  <si>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</si>
  <si>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</si>
  <si>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</si>
  <si>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</si>
  <si>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</si>
  <si>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</si>
  <si>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</si>
  <si>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</si>
  <si>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</si>
  <si>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</si>
  <si>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</si>
  <si>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</si>
  <si>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</si>
  <si>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</si>
  <si>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</si>
  <si>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</si>
  <si>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</si>
  <si>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</si>
  <si>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</si>
  <si>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</si>
  <si>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</si>
  <si>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</si>
  <si>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</si>
  <si>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</si>
  <si>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</si>
  <si>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</si>
  <si>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</si>
  <si>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</si>
  <si>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</si>
  <si>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</si>
  <si>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</si>
  <si>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</si>
  <si>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</si>
  <si>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</si>
  <si>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</si>
  <si>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</si>
  <si>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</si>
  <si>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</si>
  <si>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</si>
  <si>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</si>
  <si>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</si>
  <si>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</si>
  <si>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</si>
  <si>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</si>
  <si>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</si>
  <si>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</si>
  <si>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</si>
  <si>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</si>
  <si>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</si>
  <si>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</si>
  <si>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</si>
  <si>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</si>
  <si>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</si>
  <si>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</si>
  <si>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</si>
  <si>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</si>
  <si>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</si>
  <si>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</si>
  <si>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</si>
  <si>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</si>
  <si>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</si>
  <si>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</si>
  <si>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</si>
  <si>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</si>
  <si>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</si>
  <si>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</si>
  <si>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</si>
  <si>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</si>
  <si>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</si>
  <si>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</si>
  <si>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</si>
  <si>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</si>
  <si>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</si>
  <si>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</si>
  <si>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</si>
  <si>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</si>
  <si>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</si>
  <si>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</si>
  <si>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</si>
  <si>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</si>
  <si>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</si>
  <si>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</si>
  <si>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</si>
  <si>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</si>
  <si>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</si>
  <si>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</si>
  <si>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</si>
  <si>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</si>
  <si>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</si>
  <si>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</si>
  <si>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</si>
  <si>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</si>
  <si>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</si>
  <si>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</si>
  <si>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</si>
  <si>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</si>
  <si>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</si>
  <si>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</si>
  <si>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</si>
  <si>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</si>
  <si>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</si>
  <si>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</si>
  <si>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</si>
  <si>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</si>
  <si>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</si>
  <si>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</si>
  <si>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</si>
  <si>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</si>
  <si>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</si>
  <si>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</si>
  <si>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</si>
  <si>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</si>
  <si>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</si>
  <si>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</si>
  <si>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</si>
  <si>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</si>
  <si>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</si>
  <si>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</si>
  <si>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</si>
  <si>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</si>
  <si>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</si>
  <si>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</si>
  <si>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</si>
  <si>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</si>
  <si>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</si>
  <si>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</si>
  <si>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</si>
  <si>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</si>
  <si>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</si>
  <si>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</si>
  <si>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</si>
  <si>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</si>
  <si>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</si>
  <si>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</si>
  <si>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</si>
  <si>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</si>
  <si>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</si>
  <si>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</si>
  <si>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</si>
  <si>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</si>
  <si>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</si>
  <si>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</si>
  <si>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</si>
  <si>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</si>
  <si>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</si>
  <si>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</si>
  <si>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</si>
  <si>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</si>
  <si>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</si>
  <si>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</si>
  <si>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</si>
  <si>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</si>
  <si>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</si>
  <si>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</si>
  <si>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</si>
  <si>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</si>
  <si>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</si>
  <si>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</si>
  <si>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</si>
  <si>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</si>
  <si>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</si>
  <si>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</si>
  <si>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</si>
  <si>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</si>
  <si>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</si>
  <si>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</si>
  <si>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</si>
  <si>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</si>
  <si>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</si>
  <si>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</si>
  <si>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</si>
  <si>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</si>
  <si>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</si>
  <si>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</si>
  <si>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</si>
  <si>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</si>
  <si>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</si>
  <si>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</si>
  <si>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</si>
  <si>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</si>
  <si>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</si>
  <si>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</si>
  <si>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</si>
  <si>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</si>
  <si>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</si>
  <si>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</si>
  <si>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</si>
  <si>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</si>
  <si>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</si>
  <si>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</si>
  <si>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</si>
  <si>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</si>
  <si>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</si>
  <si>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</si>
  <si>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</si>
  <si>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</si>
  <si>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</si>
  <si>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</si>
  <si>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</si>
  <si>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</si>
  <si>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</si>
  <si>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</si>
  <si>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</si>
  <si>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</si>
  <si>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</si>
  <si>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</si>
  <si>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</si>
  <si>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</si>
  <si>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</si>
  <si>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</si>
  <si>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</si>
  <si>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</si>
  <si>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</si>
  <si>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</si>
  <si>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</si>
  <si>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</si>
  <si>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</si>
  <si>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</si>
  <si>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</si>
  <si>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</si>
  <si>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</si>
  <si>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</si>
  <si>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</si>
  <si>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</si>
  <si>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</si>
  <si>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</si>
  <si>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</si>
  <si>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</si>
  <si>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</si>
  <si>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</si>
  <si>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</si>
  <si>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</si>
  <si>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</si>
  <si>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</si>
  <si>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</si>
  <si>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</si>
  <si>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</si>
  <si>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</si>
  <si>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</si>
  <si>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</si>
  <si>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</si>
  <si>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</si>
  <si>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</si>
  <si>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</si>
  <si>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</si>
  <si>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</si>
  <si>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</si>
  <si>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</si>
  <si>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</si>
  <si>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</si>
  <si>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</si>
  <si>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</si>
  <si>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</si>
  <si>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</si>
  <si>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</si>
  <si>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</si>
  <si>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</si>
  <si>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</si>
  <si>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</si>
  <si>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</si>
  <si>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</si>
  <si>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</si>
  <si>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</si>
  <si>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</si>
  <si>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</si>
  <si>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</si>
  <si>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</si>
  <si>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</si>
  <si>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</si>
  <si>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</si>
  <si>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</si>
  <si>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</si>
  <si>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</si>
  <si>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</si>
  <si>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</si>
  <si>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</si>
  <si>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</si>
  <si>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</si>
  <si>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</si>
  <si>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</si>
  <si>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</si>
  <si>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</si>
  <si>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</si>
  <si>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</si>
  <si>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</si>
  <si>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</si>
  <si>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</si>
  <si>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</si>
  <si>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</si>
  <si>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</si>
  <si>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</si>
  <si>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</si>
  <si>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</si>
  <si>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</si>
  <si>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</si>
  <si>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</si>
  <si>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</si>
  <si>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</si>
  <si>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</si>
  <si>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</si>
  <si>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</si>
  <si>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</si>
  <si>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</si>
  <si>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</si>
  <si>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</si>
  <si>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</si>
  <si>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</si>
  <si>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</si>
  <si>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</si>
  <si>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</si>
  <si>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</si>
  <si>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</si>
  <si>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</si>
  <si>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</si>
  <si>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</si>
  <si>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</si>
  <si>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</si>
  <si>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</si>
  <si>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</si>
  <si>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</si>
  <si>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</si>
  <si>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</si>
  <si>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</si>
  <si>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</si>
  <si>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</si>
  <si>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</si>
  <si>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</si>
  <si>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</si>
  <si>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</si>
  <si>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</si>
  <si>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</si>
  <si>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</si>
  <si>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</si>
  <si>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</si>
  <si>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</si>
  <si>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</si>
  <si>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</si>
  <si>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</si>
  <si>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</si>
  <si>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</si>
  <si>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</si>
  <si>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</si>
  <si>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</si>
  <si>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</si>
  <si>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</si>
  <si>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</si>
  <si>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</si>
  <si>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</si>
  <si>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</si>
  <si>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</si>
  <si>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</si>
  <si>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</si>
  <si>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</si>
  <si>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</si>
  <si>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</si>
  <si>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</si>
  <si>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</si>
  <si>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</si>
  <si>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</si>
  <si>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</si>
  <si>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</si>
  <si>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</si>
  <si>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</si>
  <si>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</si>
  <si>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</si>
  <si>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</si>
  <si>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</si>
  <si>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</si>
  <si>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</si>
  <si>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</si>
  <si>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</si>
  <si>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</si>
  <si>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</si>
  <si>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</si>
  <si>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</si>
  <si>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</si>
  <si>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</si>
  <si>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</si>
  <si>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</si>
  <si>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</si>
  <si>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</si>
  <si>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</si>
  <si>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</si>
  <si>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</si>
  <si>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</si>
  <si>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</si>
  <si>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</si>
  <si>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</si>
  <si>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</si>
  <si>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</si>
  <si>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</si>
  <si>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</si>
  <si>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</si>
  <si>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</si>
  <si>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</si>
  <si>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</si>
  <si>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</si>
  <si>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</si>
  <si>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</si>
  <si>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</si>
  <si>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</si>
  <si>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</si>
  <si>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</si>
  <si>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</si>
  <si>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</si>
  <si>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</si>
  <si>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</si>
  <si>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</si>
  <si>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</si>
  <si>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</si>
  <si>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</si>
  <si>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</si>
  <si>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</si>
  <si>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</si>
  <si>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</si>
  <si>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</si>
  <si>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</si>
  <si>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</si>
  <si>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</si>
  <si>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</si>
  <si>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</si>
  <si>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</si>
  <si>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</si>
  <si>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</si>
  <si>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</si>
  <si>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</si>
  <si>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</si>
  <si>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</si>
  <si>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</si>
  <si>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</si>
  <si>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</si>
  <si>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</si>
  <si>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</si>
  <si>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</si>
  <si>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</si>
  <si>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</si>
  <si>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</si>
  <si>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</si>
  <si>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</si>
  <si>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</si>
  <si>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</si>
  <si>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</si>
  <si>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</si>
  <si>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</si>
  <si>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</si>
  <si>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</si>
  <si>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</si>
  <si>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</si>
  <si>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</si>
  <si>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</si>
  <si>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</si>
  <si>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</si>
  <si>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</si>
  <si>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</si>
  <si>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</si>
  <si>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</si>
  <si>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</si>
  <si>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</si>
  <si>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</si>
  <si>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</si>
  <si>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</si>
  <si>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</si>
  <si>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</si>
  <si>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</si>
  <si>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</si>
  <si>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</si>
  <si>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</si>
  <si>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</si>
  <si>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</si>
  <si>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</si>
  <si>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</si>
  <si>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</si>
  <si>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</si>
  <si>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</si>
  <si>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</si>
  <si>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</si>
  <si>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</si>
  <si>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</si>
  <si>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</si>
  <si>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</si>
  <si>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</si>
  <si>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</si>
  <si>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</si>
  <si>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</si>
  <si>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</si>
  <si>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</si>
  <si>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</si>
  <si>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</si>
  <si>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</si>
  <si>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</si>
  <si>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</si>
  <si>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</si>
  <si>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</si>
  <si>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</si>
  <si>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</si>
  <si>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</si>
  <si>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</si>
  <si>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</si>
  <si>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</si>
  <si>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</si>
  <si>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</si>
  <si>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</si>
  <si>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</si>
  <si>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</si>
  <si>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</si>
  <si>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</si>
  <si>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</si>
  <si>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</si>
  <si>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</si>
  <si>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</si>
  <si>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</si>
  <si>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</si>
  <si>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</si>
  <si>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</si>
  <si>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</si>
  <si>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</si>
  <si>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</si>
  <si>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</si>
  <si>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</si>
  <si>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</si>
  <si>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</si>
  <si>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</si>
  <si>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</si>
  <si>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</si>
  <si>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</si>
  <si>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</si>
  <si>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</si>
  <si>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</si>
  <si>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</si>
  <si>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</si>
  <si>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</si>
  <si>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</si>
  <si>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</si>
  <si>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</si>
  <si>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</si>
  <si>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</si>
  <si>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</si>
  <si>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</si>
  <si>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</si>
  <si>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</si>
  <si>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</si>
  <si>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</si>
  <si>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</si>
  <si>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</si>
  <si>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</si>
  <si>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</si>
  <si>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</si>
  <si>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</si>
  <si>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</si>
  <si>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</si>
  <si>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</si>
  <si>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</si>
  <si>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</si>
  <si>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</si>
  <si>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</si>
  <si>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</si>
  <si>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</si>
  <si>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</si>
  <si>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</si>
  <si>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</si>
  <si>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</si>
  <si>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</si>
  <si>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</si>
  <si>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</si>
  <si>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</si>
  <si>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</si>
  <si>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</si>
  <si>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</si>
  <si>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</si>
  <si>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</si>
  <si>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</si>
  <si>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</si>
  <si>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</si>
  <si>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</si>
  <si>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</si>
  <si>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</si>
  <si>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</si>
  <si>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</si>
  <si>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</si>
  <si>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</si>
  <si>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</si>
  <si>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</si>
  <si>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</si>
  <si>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</si>
  <si>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</si>
  <si>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</si>
  <si>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</si>
  <si>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</si>
  <si>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</si>
  <si>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</si>
  <si>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</si>
  <si>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</si>
  <si>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</si>
  <si>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</si>
  <si>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</si>
  <si>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</si>
  <si>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</si>
  <si>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</si>
  <si>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</si>
  <si>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</si>
  <si>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</si>
  <si>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</si>
  <si>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</si>
  <si>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</si>
  <si>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</si>
  <si>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</si>
  <si>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</si>
  <si>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</si>
  <si>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</si>
  <si>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</si>
  <si>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</si>
  <si>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</si>
  <si>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</si>
  <si>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</si>
  <si>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</si>
  <si>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</si>
  <si>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</si>
  <si>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</si>
  <si>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</si>
  <si>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</si>
  <si>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</si>
  <si>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</si>
  <si>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</si>
  <si>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</si>
  <si>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</si>
  <si>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</si>
  <si>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</si>
  <si>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</si>
  <si>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</si>
  <si>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</si>
  <si>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</si>
  <si>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</si>
  <si>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</si>
  <si>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</si>
  <si>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</si>
  <si>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</si>
  <si>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</si>
  <si>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</si>
  <si>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</si>
  <si>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</si>
  <si>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</si>
  <si>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</si>
  <si>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</si>
  <si>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</si>
  <si>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</si>
  <si>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</si>
  <si>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</si>
  <si>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</si>
  <si>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</si>
  <si>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</si>
  <si>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</si>
  <si>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</si>
  <si>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</si>
  <si>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</si>
  <si>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</si>
  <si>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</si>
  <si>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</si>
  <si>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</si>
  <si>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</si>
  <si>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</si>
  <si>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</si>
  <si>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</si>
  <si>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</si>
  <si>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</si>
  <si>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</si>
  <si>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</si>
  <si>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</si>
  <si>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</si>
  <si>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</si>
  <si>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</si>
  <si>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</si>
  <si>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</si>
  <si>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</si>
  <si>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</si>
  <si>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</si>
  <si>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</si>
  <si>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</si>
  <si>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</si>
  <si>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</si>
  <si>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</si>
  <si>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</si>
  <si>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</si>
  <si>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</si>
  <si>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</si>
  <si>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</si>
  <si>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</si>
  <si>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</si>
  <si>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</si>
  <si>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</si>
  <si>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</si>
  <si>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</si>
  <si>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</si>
  <si>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</si>
  <si>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</si>
  <si>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</si>
  <si>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</si>
  <si>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</si>
  <si>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</si>
  <si>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</si>
  <si>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</si>
  <si>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</si>
  <si>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</si>
  <si>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</si>
  <si>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</si>
  <si>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</si>
  <si>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</si>
  <si>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</si>
  <si>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</si>
  <si>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</si>
  <si>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</si>
  <si>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</si>
  <si>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</si>
  <si>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</si>
  <si>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</si>
  <si>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</si>
  <si>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</si>
  <si>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</si>
  <si>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</si>
  <si>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</si>
  <si>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</si>
  <si>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</si>
  <si>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</si>
  <si>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</si>
  <si>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</si>
  <si>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</si>
  <si>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</si>
  <si>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</si>
  <si>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</si>
  <si>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</si>
  <si>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</si>
  <si>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</si>
  <si>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</si>
  <si>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</si>
  <si>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</si>
  <si>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</si>
  <si>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</si>
  <si>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</si>
  <si>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</si>
  <si>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</si>
  <si>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</si>
  <si>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</si>
  <si>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</si>
  <si>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</si>
  <si>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</si>
  <si>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</si>
  <si>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</si>
  <si>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</si>
  <si>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</si>
  <si>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</si>
  <si>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</si>
  <si>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</si>
  <si>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</si>
  <si>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</si>
  <si>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</si>
  <si>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</si>
  <si>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</si>
  <si>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</si>
  <si>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</si>
  <si>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</si>
  <si>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</si>
  <si>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</si>
  <si>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</si>
  <si>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</si>
  <si>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</si>
  <si>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</si>
  <si>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</si>
  <si>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</si>
  <si>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</si>
  <si>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</si>
  <si>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</si>
  <si>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</si>
  <si>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</si>
  <si>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</si>
  <si>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</si>
  <si>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</si>
  <si>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</si>
  <si>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</si>
  <si>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</si>
  <si>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</si>
  <si>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</si>
  <si>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</si>
  <si>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</si>
  <si>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</si>
  <si>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</si>
  <si>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</si>
  <si>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</si>
  <si>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</si>
  <si>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</si>
  <si>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</si>
  <si>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</si>
  <si>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</si>
  <si>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</si>
  <si>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</si>
  <si>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</si>
  <si>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</si>
  <si>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</si>
  <si>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</si>
  <si>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</si>
  <si>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</si>
  <si>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</si>
  <si>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</si>
  <si>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</si>
  <si>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</si>
  <si>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</si>
  <si>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</si>
  <si>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</si>
  <si>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</si>
  <si>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</si>
  <si>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</si>
  <si>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</si>
  <si>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</si>
  <si>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</si>
  <si>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</si>
  <si>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</si>
  <si>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</si>
  <si>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</si>
  <si>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</si>
  <si>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</si>
  <si>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</si>
  <si>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</si>
  <si>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</si>
  <si>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</si>
  <si>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</si>
  <si>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</si>
  <si>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</si>
  <si>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</si>
  <si>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</si>
  <si>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</si>
  <si>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</si>
  <si>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</si>
  <si>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</si>
  <si>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</si>
  <si>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</si>
  <si>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</si>
  <si>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</si>
  <si>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</si>
  <si>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</si>
  <si>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</si>
  <si>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</si>
  <si>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</si>
  <si>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</si>
  <si>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</si>
  <si>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</si>
  <si>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</si>
  <si>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</si>
  <si>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</si>
  <si>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</si>
  <si>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</si>
  <si>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</si>
  <si>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</si>
  <si>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</si>
  <si>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</si>
  <si>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</si>
  <si>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</si>
  <si>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</si>
  <si>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</si>
  <si>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</si>
  <si>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</si>
  <si>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</si>
  <si>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</si>
  <si>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</si>
  <si>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</si>
  <si>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</si>
  <si>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</si>
  <si>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</si>
  <si>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</si>
  <si>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</si>
  <si>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</si>
  <si>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</si>
  <si>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</si>
  <si>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</si>
  <si>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</si>
  <si>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</si>
  <si>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</si>
  <si>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</si>
  <si>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</si>
  <si>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</si>
  <si>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</si>
  <si>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</si>
  <si>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</si>
  <si>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</si>
  <si>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</si>
  <si>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</si>
  <si>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</si>
  <si>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</si>
  <si>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</si>
  <si>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</si>
  <si>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</si>
  <si>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</si>
  <si>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</si>
  <si>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</si>
  <si>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</si>
  <si>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</si>
  <si>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</si>
  <si>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</si>
  <si>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</si>
  <si>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</si>
  <si>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</si>
  <si>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</si>
  <si>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</si>
  <si>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</si>
  <si>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</si>
  <si>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</si>
  <si>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</si>
  <si>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</si>
  <si>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</si>
  <si>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</si>
  <si>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</si>
  <si>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</si>
  <si>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</si>
  <si>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</si>
  <si>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</si>
  <si>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</si>
  <si>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</si>
  <si>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</si>
  <si>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</si>
  <si>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</si>
  <si>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</si>
  <si>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</si>
  <si>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</si>
  <si>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</si>
  <si>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</si>
  <si>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</si>
  <si>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</si>
  <si>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</si>
  <si>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</si>
  <si>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</si>
  <si>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</si>
  <si>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</si>
  <si>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</si>
  <si>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</si>
  <si>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</si>
  <si>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</si>
  <si>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</si>
  <si>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</si>
  <si>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</si>
  <si>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</si>
  <si>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</si>
  <si>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</si>
  <si>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</si>
  <si>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</si>
  <si>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</si>
  <si>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</si>
  <si>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</si>
  <si>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</si>
  <si>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</si>
  <si>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</si>
  <si>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</si>
  <si>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</si>
  <si>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</si>
  <si>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</si>
  <si>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</si>
  <si>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</si>
  <si>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</si>
  <si>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</si>
  <si>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</si>
  <si>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</si>
  <si>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</si>
  <si>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</si>
  <si>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</si>
  <si>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</si>
  <si>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</si>
  <si>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</si>
  <si>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</si>
  <si>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</si>
  <si>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</si>
  <si>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</si>
  <si>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</si>
  <si>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</si>
  <si>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</si>
  <si>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</si>
  <si>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</si>
  <si>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</si>
  <si>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</si>
  <si>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</si>
  <si>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</si>
  <si>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</si>
  <si>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</si>
  <si>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</si>
  <si>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</si>
  <si>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</si>
  <si>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</si>
  <si>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</si>
  <si>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</si>
  <si>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</si>
  <si>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</si>
  <si>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</si>
  <si>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</si>
  <si>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</si>
  <si>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</si>
  <si>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</si>
  <si>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</si>
  <si>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</si>
  <si>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</si>
  <si>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</si>
  <si>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</si>
  <si>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</si>
  <si>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</si>
  <si>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</si>
  <si>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</si>
  <si>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</si>
  <si>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</si>
  <si>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</si>
  <si>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</si>
  <si>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</si>
  <si>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</si>
  <si>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</si>
  <si>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</si>
  <si>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</si>
  <si>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</si>
  <si>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</si>
  <si>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</si>
  <si>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</si>
  <si>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</si>
  <si>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</si>
  <si>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</si>
  <si>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</si>
  <si>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</si>
  <si>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</si>
  <si>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</si>
  <si>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</si>
  <si>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</si>
  <si>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</si>
  <si>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</si>
  <si>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</si>
  <si>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</si>
  <si>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</si>
  <si>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</si>
  <si>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</si>
  <si>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</si>
  <si>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</si>
  <si>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</si>
  <si>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</si>
  <si>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</si>
  <si>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</si>
  <si>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</si>
  <si>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</si>
  <si>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</si>
  <si>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</si>
  <si>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</si>
  <si>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</si>
  <si>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</si>
  <si>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</si>
  <si>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</si>
  <si>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</si>
  <si>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</si>
  <si>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</si>
  <si>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</si>
  <si>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</si>
  <si>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</si>
  <si>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</si>
  <si>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</si>
  <si>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</si>
  <si>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</si>
  <si>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</si>
  <si>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</si>
  <si>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</si>
  <si>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</si>
  <si>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</si>
  <si>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</si>
  <si>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</si>
  <si>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</si>
  <si>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</si>
  <si>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</si>
  <si>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</si>
  <si>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</si>
  <si>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</si>
  <si>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</si>
  <si>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</si>
  <si>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</si>
  <si>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</si>
  <si>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</si>
  <si>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</si>
  <si>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</si>
  <si>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</si>
  <si>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</si>
  <si>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</si>
  <si>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</si>
  <si>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</si>
  <si>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</si>
  <si>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</si>
  <si>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</si>
  <si>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</si>
  <si>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</si>
  <si>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</si>
  <si>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</si>
  <si>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</si>
  <si>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</si>
  <si>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</si>
  <si>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</si>
  <si>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</si>
  <si>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</si>
  <si>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</si>
  <si>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</si>
  <si>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</si>
  <si>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</si>
  <si>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</si>
  <si>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</si>
  <si>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</si>
  <si>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</si>
  <si>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</si>
  <si>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</si>
  <si>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</si>
  <si>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</si>
  <si>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</si>
  <si>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</si>
  <si>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</si>
  <si>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</si>
  <si>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</si>
  <si>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</si>
  <si>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</si>
  <si>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</si>
  <si>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</si>
  <si>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</si>
  <si>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</si>
  <si>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</si>
  <si>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</si>
  <si>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</si>
  <si>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</si>
  <si>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</si>
  <si>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</si>
  <si>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</si>
  <si>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</si>
  <si>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</si>
  <si>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</si>
  <si>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</si>
  <si>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</si>
  <si>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</si>
  <si>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</si>
  <si>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</si>
  <si>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</si>
  <si>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</si>
  <si>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</si>
  <si>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</si>
  <si>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</si>
  <si>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</si>
  <si>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</si>
  <si>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</si>
  <si>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</si>
  <si>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</si>
  <si>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</si>
  <si>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</si>
  <si>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</si>
  <si>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</si>
  <si>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</si>
  <si>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</si>
  <si>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</si>
  <si>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</si>
  <si>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</si>
  <si>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</si>
  <si>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</si>
  <si>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</si>
  <si>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</si>
  <si>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</si>
  <si>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</si>
  <si>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</si>
  <si>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</si>
  <si>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</si>
  <si>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</si>
  <si>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</si>
  <si>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</si>
  <si>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</si>
  <si>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</si>
  <si>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</si>
  <si>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</si>
  <si>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</si>
  <si>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</si>
  <si>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</si>
  <si>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</si>
  <si>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</si>
  <si>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</si>
  <si>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</si>
  <si>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</si>
  <si>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</si>
  <si>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</si>
  <si>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</si>
  <si>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</si>
  <si>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</si>
  <si>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</si>
  <si>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</si>
  <si>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</si>
  <si>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</si>
  <si>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</si>
  <si>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</si>
  <si>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</si>
  <si>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</si>
  <si>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</si>
  <si>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</si>
  <si>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</si>
  <si>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</si>
  <si>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</si>
  <si>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</si>
  <si>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</si>
  <si>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</si>
  <si>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</si>
  <si>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</si>
  <si>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</si>
  <si>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</si>
  <si>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</si>
  <si>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</si>
  <si>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</si>
  <si>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</si>
  <si>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</si>
  <si>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</si>
  <si>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</si>
  <si>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</si>
  <si>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</si>
  <si>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</si>
  <si>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</si>
  <si>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</si>
  <si>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</si>
  <si>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</si>
  <si>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</si>
  <si>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</si>
  <si>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</si>
  <si>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</si>
  <si>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</si>
  <si>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</si>
  <si>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</si>
  <si>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</si>
  <si>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</si>
  <si>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</si>
  <si>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</si>
  <si>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</si>
  <si>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</si>
  <si>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</si>
  <si>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</si>
  <si>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</si>
  <si>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</si>
  <si>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</si>
  <si>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</si>
  <si>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</si>
  <si>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</si>
  <si>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</si>
  <si>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</si>
  <si>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</si>
  <si>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</si>
  <si>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</si>
  <si>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</si>
  <si>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</si>
  <si>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</si>
  <si>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</si>
  <si>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</si>
  <si>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</si>
  <si>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</si>
  <si>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</si>
  <si>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</si>
  <si>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</si>
  <si>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</si>
  <si>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</si>
  <si>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</si>
  <si>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</si>
  <si>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</si>
  <si>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</si>
  <si>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</si>
  <si>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</si>
  <si>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</si>
  <si>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</si>
  <si>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</si>
  <si>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</si>
  <si>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</si>
  <si>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</si>
  <si>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</si>
  <si>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</si>
  <si>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</si>
  <si>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</si>
  <si>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</si>
  <si>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</si>
  <si>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</si>
  <si>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</si>
  <si>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</si>
  <si>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</si>
  <si>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</si>
  <si>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</si>
  <si>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</si>
  <si>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</si>
  <si>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</si>
  <si>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</si>
  <si>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</si>
  <si>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</si>
  <si>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</si>
  <si>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</si>
  <si>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</si>
  <si>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</si>
  <si>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</si>
  <si>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</si>
  <si>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</si>
  <si>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</si>
  <si>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</si>
  <si>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</si>
  <si>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</si>
  <si>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</si>
  <si>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</si>
  <si>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</si>
  <si>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</si>
  <si>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</si>
  <si>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</si>
  <si>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</si>
  <si>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</si>
  <si>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</si>
  <si>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</si>
  <si>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</si>
  <si>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</si>
  <si>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</si>
  <si>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</si>
  <si>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</si>
  <si>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</si>
  <si>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</si>
  <si>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</si>
  <si>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</si>
  <si>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</si>
  <si>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</si>
  <si>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</si>
  <si>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</si>
  <si>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</si>
  <si>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</si>
  <si>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</si>
  <si>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</si>
  <si>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</si>
  <si>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</si>
  <si>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</si>
  <si>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</si>
  <si>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</si>
  <si>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</si>
  <si>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</si>
  <si>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</si>
  <si>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</si>
  <si>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</si>
  <si>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</si>
  <si>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</si>
  <si>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</si>
  <si>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</si>
  <si>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</si>
  <si>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</si>
  <si>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</si>
  <si>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</si>
  <si>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</si>
  <si>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</si>
  <si>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</si>
  <si>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</si>
  <si>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</si>
  <si>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</si>
  <si>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</si>
  <si>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</si>
  <si>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</si>
  <si>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</si>
  <si>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</si>
  <si>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</si>
  <si>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</si>
  <si>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</si>
  <si>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</si>
  <si>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</si>
  <si>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</si>
  <si>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</si>
  <si>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</si>
  <si>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</si>
  <si>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</si>
  <si>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</si>
  <si>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</si>
  <si>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</si>
  <si>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</si>
  <si>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</si>
  <si>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</si>
  <si>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</si>
  <si>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</si>
  <si>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</si>
  <si>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</si>
  <si>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</si>
  <si>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</si>
  <si>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</si>
  <si>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</si>
  <si>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</si>
  <si>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</si>
  <si>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</si>
  <si>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</si>
  <si>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</si>
  <si>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</si>
  <si>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</si>
  <si>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</si>
  <si>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</si>
  <si>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</si>
  <si>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</si>
  <si>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</si>
  <si>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</si>
  <si>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</si>
  <si>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</si>
  <si>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</si>
  <si>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</si>
  <si>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</si>
  <si>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</si>
  <si>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</si>
  <si>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</si>
  <si>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</si>
  <si>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</si>
  <si>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</si>
  <si>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</si>
  <si>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</si>
  <si>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</si>
  <si>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</si>
  <si>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</si>
  <si>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</si>
  <si>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</si>
  <si>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</si>
  <si>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</si>
  <si>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</si>
  <si>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</si>
  <si>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</si>
  <si>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</si>
  <si>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</si>
  <si>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</si>
  <si>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</si>
  <si>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</si>
  <si>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</si>
  <si>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</si>
  <si>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</si>
  <si>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</si>
  <si>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</si>
  <si>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</si>
  <si>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</si>
  <si>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</si>
  <si>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</si>
  <si>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</si>
  <si>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</si>
  <si>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</si>
  <si>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</si>
  <si>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</si>
  <si>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</si>
  <si>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</si>
  <si>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</si>
  <si>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</si>
  <si>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</si>
  <si>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</si>
  <si>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</si>
  <si>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</si>
  <si>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</si>
  <si>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</si>
  <si>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</si>
  <si>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</si>
  <si>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</si>
  <si>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</si>
  <si>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</si>
  <si>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</si>
  <si>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</si>
  <si>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</si>
  <si>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</si>
  <si>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</si>
  <si>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</si>
  <si>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</si>
  <si>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</si>
  <si>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</si>
  <si>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</si>
  <si>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</si>
  <si>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</si>
  <si>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</si>
  <si>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</si>
  <si>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</si>
  <si>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</si>
  <si>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</si>
  <si>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</si>
  <si>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</si>
  <si>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</si>
  <si>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</si>
  <si>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</si>
  <si>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</si>
  <si>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</si>
  <si>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</si>
  <si>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</si>
  <si>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</si>
  <si>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</si>
  <si>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</si>
  <si>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</si>
  <si>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</si>
  <si>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</si>
  <si>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</si>
  <si>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</si>
  <si>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</si>
  <si>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</si>
  <si>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</si>
  <si>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</si>
  <si>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</si>
  <si>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</si>
  <si>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</si>
  <si>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</si>
  <si>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</si>
  <si>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</si>
  <si>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</si>
  <si>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</si>
  <si>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</si>
  <si>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</si>
  <si>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</si>
  <si>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</si>
  <si>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</si>
  <si>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</si>
  <si>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</si>
  <si>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</si>
  <si>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</si>
  <si>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</si>
  <si>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</si>
  <si>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</si>
  <si>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</si>
  <si>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</si>
  <si>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</si>
  <si>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</si>
  <si>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</si>
  <si>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</si>
  <si>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</si>
  <si>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</si>
  <si>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</si>
  <si>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</si>
  <si>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</si>
  <si>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</si>
  <si>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</si>
  <si>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</si>
  <si>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</si>
  <si>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</si>
  <si>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</si>
  <si>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</si>
  <si>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</si>
  <si>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</si>
  <si>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</si>
  <si>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</si>
  <si>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</si>
  <si>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</si>
  <si>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</si>
  <si>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</si>
  <si>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</si>
  <si>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</si>
  <si>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</si>
  <si>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</si>
  <si>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</si>
  <si>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</si>
  <si>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</si>
  <si>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</si>
  <si>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</si>
  <si>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</si>
  <si>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</si>
  <si>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</si>
  <si>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</si>
  <si>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</si>
  <si>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</si>
  <si>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</si>
  <si>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</si>
  <si>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</si>
  <si>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</si>
  <si>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</si>
  <si>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</si>
  <si>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</si>
  <si>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</si>
  <si>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</si>
  <si>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</si>
  <si>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</si>
  <si>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</si>
  <si>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</si>
  <si>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</si>
  <si>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</si>
  <si>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</si>
  <si>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</si>
  <si>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</si>
  <si>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</si>
  <si>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</si>
  <si>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</si>
  <si>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</si>
  <si>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</si>
  <si>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</si>
  <si>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</si>
  <si>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</si>
  <si>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</si>
  <si>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</si>
  <si>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</si>
  <si>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</si>
  <si>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</si>
  <si>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</si>
  <si>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</si>
  <si>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</si>
  <si>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</si>
  <si>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</si>
  <si>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</si>
  <si>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</si>
  <si>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</si>
  <si>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</si>
  <si>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</si>
  <si>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</si>
  <si>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</si>
  <si>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</si>
  <si>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</si>
  <si>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</si>
  <si>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</si>
  <si>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</si>
  <si>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</si>
  <si>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</si>
  <si>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</si>
  <si>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</si>
  <si>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</si>
  <si>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</si>
  <si>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</si>
  <si>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</si>
  <si>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</si>
  <si>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</si>
  <si>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</si>
  <si>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</si>
  <si>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</si>
  <si>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</si>
  <si>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</si>
  <si>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</si>
  <si>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</si>
  <si>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</si>
  <si>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</si>
  <si>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</si>
  <si>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</si>
  <si>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</si>
  <si>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</si>
  <si>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</si>
  <si>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</si>
  <si>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</si>
  <si>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</si>
  <si>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</si>
  <si>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</si>
  <si>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</si>
  <si>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</si>
  <si>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</si>
  <si>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</si>
  <si>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</si>
  <si>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</si>
  <si>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</si>
  <si>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</si>
  <si>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</si>
  <si>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</si>
  <si>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</si>
  <si>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</si>
  <si>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</si>
  <si>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</si>
  <si>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</si>
  <si>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</si>
  <si>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</si>
  <si>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</si>
  <si>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</si>
  <si>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</si>
  <si>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</si>
  <si>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</si>
  <si>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</si>
  <si>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</si>
  <si>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</si>
  <si>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</si>
  <si>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</si>
  <si>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</si>
  <si>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</si>
  <si>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</si>
  <si>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</si>
  <si>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</si>
  <si>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</si>
  <si>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</si>
  <si>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</si>
  <si>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</si>
  <si>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</si>
  <si>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</si>
  <si>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</si>
  <si>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</si>
  <si>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</si>
  <si>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</si>
  <si>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</si>
  <si>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</si>
  <si>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</si>
  <si>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</si>
  <si>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</si>
  <si>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</si>
  <si>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</si>
  <si>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</si>
  <si>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</si>
  <si>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</si>
  <si>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</si>
  <si>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</si>
  <si>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</si>
  <si>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</si>
  <si>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</si>
  <si>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</si>
  <si>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</si>
  <si>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</si>
  <si>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</si>
  <si>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</si>
  <si>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</si>
  <si>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</si>
  <si>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</si>
  <si>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</si>
  <si>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</si>
  <si>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</si>
  <si>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</si>
  <si>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</si>
  <si>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</si>
  <si>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</si>
  <si>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</si>
  <si>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</si>
  <si>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</si>
  <si>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</si>
  <si>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</si>
  <si>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</si>
  <si>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</si>
  <si>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</si>
  <si>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</si>
  <si>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</si>
  <si>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</si>
  <si>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</si>
  <si>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</si>
  <si>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</si>
  <si>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</si>
  <si>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</si>
  <si>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</si>
  <si>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</si>
  <si>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</si>
  <si>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</si>
  <si>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</si>
  <si>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</si>
  <si>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</si>
  <si>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</si>
  <si>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</si>
  <si>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</si>
  <si>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</si>
  <si>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</si>
  <si>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</si>
  <si>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</si>
  <si>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</si>
  <si>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</si>
  <si>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</si>
  <si>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</si>
  <si>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</si>
  <si>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</si>
  <si>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</si>
  <si>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</si>
  <si>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</si>
  <si>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</si>
  <si>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</si>
  <si>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</si>
  <si>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</si>
  <si>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</si>
  <si>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</si>
  <si>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</si>
  <si>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</si>
  <si>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</si>
  <si>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</si>
  <si>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</si>
  <si>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</si>
  <si>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</si>
  <si>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</si>
  <si>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</si>
  <si>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</si>
  <si>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</si>
  <si>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</si>
  <si>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</si>
  <si>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</si>
  <si>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</si>
  <si>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</si>
  <si>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</si>
  <si>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</si>
  <si>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</si>
  <si>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</si>
  <si>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</si>
  <si>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</si>
  <si>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</si>
  <si>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</si>
  <si>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</si>
  <si>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</si>
  <si>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</si>
  <si>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</si>
  <si>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</si>
  <si>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</si>
  <si>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</si>
  <si>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</si>
  <si>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</si>
  <si>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</si>
  <si>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</si>
  <si>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</si>
  <si>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</si>
  <si>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</si>
  <si>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</si>
  <si>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</si>
  <si>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</si>
  <si>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</si>
  <si>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</si>
  <si>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</si>
  <si>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</si>
  <si>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</si>
  <si>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</si>
  <si>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</si>
  <si>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</si>
  <si>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</si>
  <si>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</si>
  <si>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</si>
  <si>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</si>
  <si>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</si>
  <si>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</si>
  <si>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</si>
  <si>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</si>
  <si>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</si>
  <si>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</si>
  <si>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</si>
  <si>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</si>
  <si>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</si>
  <si>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</si>
  <si>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</si>
  <si>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</si>
  <si>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</si>
  <si>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</si>
  <si>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</si>
  <si>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</si>
  <si>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</si>
  <si>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</si>
  <si>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</si>
  <si>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</si>
  <si>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</si>
  <si>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</si>
  <si>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</si>
  <si>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</si>
  <si>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</si>
  <si>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</si>
  <si>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</si>
  <si>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</si>
  <si>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</si>
  <si>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</si>
  <si>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</si>
  <si>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</si>
  <si>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</si>
  <si>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</si>
  <si>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</si>
  <si>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</si>
  <si>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</si>
  <si>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</si>
  <si>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</si>
  <si>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</si>
  <si>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</si>
  <si>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</si>
  <si>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</si>
  <si>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</si>
  <si>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</si>
  <si>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</si>
  <si>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</si>
  <si>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</si>
  <si>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</si>
  <si>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</si>
  <si>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</si>
  <si>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</si>
  <si>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</si>
  <si>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</si>
  <si>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</si>
  <si>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</si>
  <si>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</si>
  <si>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</si>
  <si>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</si>
  <si>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</si>
  <si>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</si>
  <si>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</si>
  <si>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</si>
  <si>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</si>
  <si>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</si>
  <si>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</si>
  <si>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</si>
  <si>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</si>
  <si>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</si>
  <si>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</si>
  <si>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</si>
  <si>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</si>
  <si>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</si>
  <si>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</si>
  <si>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</si>
  <si>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</si>
  <si>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</si>
  <si>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</si>
  <si>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</si>
  <si>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</si>
  <si>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</si>
  <si>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</si>
  <si>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</si>
  <si>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</si>
  <si>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</si>
  <si>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</si>
  <si>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</si>
  <si>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</si>
  <si>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</si>
  <si>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</si>
  <si>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</si>
  <si>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</si>
  <si>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</si>
  <si>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</si>
  <si>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</si>
  <si>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</si>
  <si>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</si>
  <si>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</si>
  <si>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</si>
  <si>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</si>
  <si>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</si>
  <si>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</si>
  <si>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</si>
  <si>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</si>
  <si>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</si>
  <si>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</si>
  <si>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</si>
  <si>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</si>
  <si>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</si>
  <si>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</si>
  <si>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</si>
  <si>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</si>
  <si>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</si>
  <si>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</si>
  <si>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</si>
  <si>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</si>
  <si>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</si>
  <si>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</si>
  <si>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</si>
  <si>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</si>
  <si>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</si>
  <si>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</si>
  <si>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</si>
  <si>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</si>
  <si>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</si>
  <si>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</si>
  <si>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</si>
  <si>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</si>
  <si>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</si>
  <si>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</si>
  <si>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</si>
  <si>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</si>
  <si>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</si>
  <si>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</si>
  <si>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</si>
  <si>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</si>
  <si>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</si>
  <si>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</si>
  <si>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</si>
  <si>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</si>
  <si>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</si>
  <si>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</si>
  <si>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</si>
  <si>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</si>
  <si>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</si>
  <si>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</si>
  <si>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</si>
  <si>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</si>
  <si>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</si>
  <si>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</si>
  <si>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</si>
  <si>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</si>
  <si>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</si>
  <si>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</si>
  <si>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</si>
  <si>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</si>
  <si>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</si>
  <si>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</si>
  <si>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</si>
  <si>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</si>
  <si>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</si>
  <si>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</si>
  <si>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</si>
  <si>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</si>
  <si>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</si>
  <si>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</si>
  <si>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</si>
  <si>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</si>
  <si>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</si>
  <si>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</si>
  <si>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</si>
  <si>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</si>
  <si>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</si>
  <si>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</si>
  <si>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</si>
  <si>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</si>
  <si>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</si>
  <si>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</si>
  <si>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</si>
  <si>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</si>
  <si>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</si>
  <si>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</si>
  <si>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</si>
  <si>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</si>
  <si>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</si>
  <si>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</si>
  <si>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</si>
  <si>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</si>
  <si>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</si>
  <si>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</si>
  <si>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</si>
  <si>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</si>
  <si>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</si>
  <si>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</si>
  <si>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</si>
  <si>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</si>
  <si>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</si>
  <si>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</si>
  <si>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</si>
  <si>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</si>
  <si>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</si>
  <si>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</si>
  <si>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</si>
  <si>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</si>
  <si>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</si>
  <si>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</si>
  <si>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</si>
  <si>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</si>
  <si>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</si>
  <si>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</si>
  <si>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</si>
  <si>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</si>
  <si>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</si>
  <si>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</si>
  <si>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</si>
  <si>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</si>
  <si>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</si>
  <si>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</si>
  <si>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</si>
  <si>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</si>
  <si>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</si>
  <si>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</si>
  <si>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</si>
  <si>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</si>
  <si>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</si>
  <si>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</si>
  <si>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</si>
  <si>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</si>
  <si>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</si>
  <si>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</si>
  <si>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</si>
  <si>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</si>
  <si>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</si>
  <si>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</si>
  <si>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</si>
  <si>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</si>
  <si>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</si>
  <si>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</si>
  <si>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</si>
  <si>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</si>
  <si>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</si>
  <si>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</si>
  <si>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</si>
  <si>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</si>
  <si>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</si>
  <si>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</si>
  <si>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</si>
  <si>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</si>
  <si>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</si>
  <si>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</si>
  <si>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</si>
  <si>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</si>
  <si>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</si>
  <si>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</si>
  <si>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</si>
  <si>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</si>
  <si>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</si>
  <si>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</si>
  <si>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</si>
  <si>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</si>
  <si>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</si>
  <si>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</si>
  <si>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</si>
  <si>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</si>
  <si>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</si>
  <si>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</si>
  <si>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</si>
  <si>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</si>
  <si>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</si>
  <si>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</si>
  <si>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</si>
  <si>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</si>
  <si>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</si>
  <si>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</si>
  <si>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</si>
  <si>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</si>
  <si>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</si>
  <si>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</si>
  <si>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</si>
  <si>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</si>
  <si>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</si>
  <si>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</si>
  <si>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</si>
  <si>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</si>
  <si>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</si>
  <si>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</si>
  <si>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</si>
  <si>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</si>
  <si>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</si>
  <si>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</si>
  <si>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</si>
  <si>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</si>
  <si>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</si>
  <si>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</si>
  <si>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</si>
  <si>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</si>
  <si>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</si>
  <si>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</si>
  <si>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</si>
  <si>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</si>
  <si>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</si>
  <si>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</si>
  <si>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</si>
  <si>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</si>
  <si>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</si>
  <si>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</si>
  <si>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</si>
  <si>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</si>
  <si>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</si>
  <si>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</si>
  <si>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</si>
  <si>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</si>
  <si>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</si>
  <si>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</si>
  <si>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</si>
  <si>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</si>
  <si>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</si>
  <si>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</si>
  <si>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</si>
  <si>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</si>
  <si>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</si>
  <si>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</si>
  <si>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</si>
  <si>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</si>
  <si>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</si>
  <si>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</si>
  <si>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</si>
  <si>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</si>
  <si>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</si>
  <si>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</si>
  <si>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</si>
  <si>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</si>
  <si>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</si>
  <si>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</si>
  <si>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</si>
  <si>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</si>
  <si>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</si>
  <si>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</si>
  <si>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</si>
  <si>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</si>
  <si>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</si>
  <si>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</si>
  <si>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</si>
  <si>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</si>
  <si>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</si>
  <si>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</si>
  <si>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</si>
  <si>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</si>
  <si>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</si>
  <si>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</si>
  <si>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</si>
  <si>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</si>
  <si>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</si>
  <si>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</si>
  <si>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</si>
  <si>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</si>
  <si>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</si>
  <si>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</si>
  <si>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</si>
  <si>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</si>
  <si>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</si>
  <si>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</si>
  <si>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</si>
  <si>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</si>
  <si>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</si>
  <si>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</si>
  <si>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</si>
  <si>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</si>
  <si>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</si>
  <si>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</si>
  <si>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</si>
  <si>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</si>
  <si>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</si>
  <si>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</si>
  <si>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</si>
  <si>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</si>
  <si>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</si>
  <si>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</si>
  <si>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</si>
  <si>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</si>
  <si>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</si>
  <si>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</si>
  <si>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</si>
  <si>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</si>
  <si>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</si>
  <si>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</si>
  <si>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</si>
  <si>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</si>
  <si>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</si>
  <si>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</si>
  <si>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</si>
  <si>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</si>
  <si>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</si>
  <si>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</si>
  <si>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</si>
  <si>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</si>
  <si>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</si>
  <si>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</si>
  <si>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</si>
  <si>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</si>
  <si>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</si>
  <si>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</si>
  <si>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</si>
  <si>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</si>
  <si>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</si>
  <si>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</si>
  <si>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</si>
  <si>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</si>
  <si>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</si>
  <si>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</si>
  <si>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</si>
  <si>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</si>
  <si>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</si>
  <si>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</si>
  <si>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</si>
  <si>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</si>
  <si>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</si>
  <si>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</si>
  <si>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</si>
  <si>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</si>
  <si>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</si>
  <si>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</si>
  <si>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</si>
  <si>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</si>
  <si>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</si>
  <si>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</si>
  <si>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</si>
  <si>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</si>
  <si>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</si>
  <si>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</si>
  <si>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</si>
  <si>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</si>
  <si>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</si>
  <si>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</si>
  <si>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</si>
  <si>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</si>
  <si>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</si>
  <si>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</si>
  <si>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</si>
  <si>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</si>
  <si>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</si>
  <si>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</si>
  <si>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</si>
  <si>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</si>
  <si>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</si>
  <si>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</si>
  <si>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</si>
  <si>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</si>
  <si>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</si>
  <si>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</si>
  <si>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</si>
  <si>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</si>
  <si>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</si>
  <si>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</si>
  <si>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</si>
  <si>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</si>
  <si>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</si>
  <si>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</si>
  <si>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</si>
  <si>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</si>
  <si>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</si>
  <si>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</si>
  <si>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</si>
  <si>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</si>
  <si>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</si>
  <si>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</si>
  <si>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</si>
  <si>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</si>
  <si>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</si>
  <si>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</si>
  <si>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</si>
  <si>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</si>
  <si>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</si>
  <si>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</si>
  <si>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</si>
  <si>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</si>
  <si>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</si>
  <si>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</si>
  <si>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</si>
  <si>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</si>
  <si>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</si>
  <si>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</si>
  <si>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</si>
  <si>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</si>
  <si>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</si>
  <si>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</si>
  <si>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</si>
  <si>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</si>
  <si>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</si>
  <si>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</si>
  <si>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</si>
  <si>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</si>
  <si>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</si>
  <si>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</si>
  <si>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</si>
  <si>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</si>
  <si>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</si>
  <si>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</si>
  <si>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</si>
  <si>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</si>
  <si>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</si>
  <si>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</si>
  <si>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</si>
  <si>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</si>
  <si>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</si>
  <si>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</si>
  <si>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</si>
  <si>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</si>
  <si>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</si>
  <si>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</si>
  <si>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</si>
  <si>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</si>
  <si>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</si>
  <si>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</si>
  <si>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</si>
  <si>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</si>
  <si>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</si>
  <si>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</si>
  <si>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</si>
  <si>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</si>
  <si>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</si>
  <si>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</si>
  <si>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</si>
  <si>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</si>
  <si>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</si>
  <si>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</si>
  <si>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</si>
  <si>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</si>
  <si>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</si>
  <si>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</si>
  <si>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</si>
  <si>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</si>
  <si>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</si>
  <si>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</si>
  <si>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</si>
  <si>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</si>
  <si>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</si>
  <si>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</si>
  <si>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</si>
  <si>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</si>
  <si>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</si>
  <si>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</si>
  <si>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</si>
  <si>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</si>
  <si>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</si>
  <si>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</si>
  <si>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</si>
  <si>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</si>
  <si>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</si>
  <si>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</si>
  <si>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</si>
  <si>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</si>
  <si>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</si>
  <si>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</si>
  <si>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</si>
  <si>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</si>
  <si>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</si>
  <si>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</si>
  <si>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</si>
  <si>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</si>
  <si>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</si>
  <si>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</si>
  <si>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</si>
  <si>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</si>
  <si>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</si>
  <si>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</si>
  <si>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</si>
  <si>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</si>
  <si>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</si>
  <si>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</si>
  <si>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</si>
  <si>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</si>
  <si>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</si>
  <si>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</si>
  <si>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</si>
  <si>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</si>
  <si>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</si>
  <si>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</si>
  <si>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</si>
  <si>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</si>
  <si>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</si>
  <si>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</si>
  <si>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</si>
  <si>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</si>
  <si>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</si>
  <si>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</si>
  <si>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</si>
  <si>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</si>
  <si>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</si>
  <si>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</si>
  <si>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</si>
  <si>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</si>
  <si>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</si>
  <si>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</si>
  <si>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</si>
  <si>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</si>
  <si>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</si>
  <si>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</si>
  <si>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</si>
  <si>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</si>
  <si>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</si>
  <si>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</si>
  <si>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</si>
  <si>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</si>
  <si>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</si>
  <si>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</si>
  <si>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</si>
  <si>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</si>
  <si>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</si>
  <si>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</si>
  <si>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</si>
  <si>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</si>
  <si>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</si>
  <si>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</si>
  <si>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</si>
  <si>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</si>
  <si>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</si>
  <si>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</si>
  <si>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</si>
  <si>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</si>
  <si>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</si>
  <si>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</si>
  <si>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</si>
  <si>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</si>
  <si>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</si>
  <si>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</si>
  <si>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</si>
  <si>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</si>
  <si>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</si>
  <si>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</si>
  <si>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</si>
  <si>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</si>
  <si>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</si>
  <si>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</si>
  <si>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</si>
  <si>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</si>
  <si>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</si>
  <si>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</si>
  <si>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</si>
  <si>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</si>
  <si>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</si>
  <si>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</si>
  <si>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</si>
  <si>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</si>
  <si>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</si>
  <si>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</si>
  <si>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</si>
  <si>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</si>
  <si>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</si>
  <si>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</si>
  <si>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</si>
  <si>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</si>
  <si>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</si>
  <si>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</si>
  <si>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</si>
  <si>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</si>
  <si>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</si>
  <si>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</si>
  <si>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</si>
  <si>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</si>
  <si>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</si>
  <si>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</si>
  <si>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</si>
  <si>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</si>
  <si>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</si>
  <si>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</si>
  <si>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</si>
  <si>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</si>
  <si>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</si>
  <si>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</si>
  <si>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</si>
  <si>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</si>
  <si>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</si>
  <si>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</si>
  <si>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</si>
  <si>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</si>
  <si>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</si>
  <si>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</si>
  <si>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</si>
  <si>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</si>
  <si>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</si>
  <si>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</si>
  <si>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</si>
  <si>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</si>
  <si>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</si>
  <si>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</si>
  <si>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</si>
  <si>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</si>
  <si>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</si>
  <si>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</si>
  <si>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</si>
  <si>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</si>
  <si>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</si>
  <si>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</si>
  <si>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</si>
  <si>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</si>
  <si>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</si>
  <si>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</si>
  <si>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</si>
  <si>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</si>
  <si>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</si>
  <si>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</si>
  <si>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</si>
  <si>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</si>
  <si>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</si>
  <si>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</si>
  <si>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</si>
  <si>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</si>
  <si>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</si>
  <si>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</si>
  <si>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</si>
  <si>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</si>
  <si>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</si>
  <si>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</si>
  <si>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</si>
  <si>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</si>
  <si>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</si>
  <si>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</si>
  <si>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</si>
  <si>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</si>
  <si>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</si>
  <si>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</si>
  <si>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</si>
  <si>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</si>
  <si>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</si>
  <si>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</si>
  <si>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</si>
  <si>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</si>
  <si>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</si>
  <si>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</si>
  <si>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</si>
  <si>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</si>
  <si>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</si>
  <si>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</si>
  <si>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</si>
  <si>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</si>
  <si>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</si>
  <si>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</si>
  <si>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</si>
  <si>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</si>
  <si>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</si>
  <si>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</si>
  <si>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</si>
  <si>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</si>
  <si>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</si>
  <si>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</si>
  <si>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</si>
  <si>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</si>
  <si>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</si>
  <si>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</si>
  <si>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</si>
  <si>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</si>
  <si>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</si>
  <si>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</si>
  <si>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</si>
  <si>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</si>
  <si>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</si>
  <si>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</si>
  <si>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</si>
  <si>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</si>
  <si>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</si>
  <si>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</si>
  <si>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</si>
  <si>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</si>
  <si>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</si>
  <si>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</si>
  <si>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</si>
  <si>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</si>
  <si>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</si>
  <si>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</si>
  <si>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</si>
  <si>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</si>
  <si>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</si>
  <si>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</si>
  <si>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</si>
  <si>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</si>
  <si>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</si>
  <si>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</si>
  <si>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</si>
  <si>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</si>
  <si>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</si>
  <si>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</si>
  <si>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</si>
  <si>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</si>
  <si>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</si>
  <si>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</si>
  <si>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</si>
  <si>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</si>
  <si>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</si>
  <si>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</si>
  <si>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</si>
  <si>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</si>
  <si>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</si>
  <si>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</si>
  <si>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</si>
  <si>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</si>
  <si>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</si>
  <si>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</si>
  <si>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</si>
  <si>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</si>
  <si>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</si>
  <si>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</si>
  <si>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</si>
  <si>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</si>
  <si>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</si>
  <si>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</si>
  <si>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</si>
  <si>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</si>
  <si>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</si>
  <si>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</si>
  <si>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</si>
  <si>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</si>
  <si>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</si>
  <si>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</si>
  <si>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</si>
  <si>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</si>
  <si>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</si>
  <si>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</si>
  <si>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</si>
  <si>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</si>
  <si>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</si>
  <si>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</si>
  <si>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</si>
  <si>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</si>
  <si>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</si>
  <si>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</si>
  <si>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</si>
  <si>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</si>
  <si>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</si>
  <si>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</si>
  <si>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</si>
  <si>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</si>
  <si>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</si>
  <si>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</si>
  <si>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</si>
  <si>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</si>
  <si>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</si>
  <si>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</si>
  <si>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</si>
  <si>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</si>
  <si>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</si>
  <si>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</si>
  <si>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</si>
  <si>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</si>
  <si>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</si>
  <si>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</si>
  <si>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</si>
  <si>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</si>
  <si>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</si>
  <si>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</si>
  <si>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</si>
  <si>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</si>
  <si>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</si>
  <si>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</si>
  <si>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</si>
  <si>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</si>
  <si>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</si>
  <si>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</si>
  <si>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</si>
  <si>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</si>
  <si>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</si>
  <si>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</si>
  <si>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</si>
  <si>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</si>
  <si>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</si>
  <si>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</si>
  <si>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</si>
  <si>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</si>
  <si>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</si>
  <si>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</si>
  <si>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</si>
  <si>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</si>
  <si>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</si>
  <si>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</si>
  <si>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</si>
  <si>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</si>
  <si>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</si>
  <si>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</si>
  <si>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</si>
  <si>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</si>
  <si>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</si>
  <si>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</si>
  <si>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</si>
  <si>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</si>
  <si>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</si>
  <si>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</si>
  <si>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</si>
  <si>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</si>
  <si>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</si>
  <si>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</si>
  <si>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</si>
  <si>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</si>
  <si>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</si>
  <si>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</si>
  <si>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</si>
  <si>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</si>
  <si>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</si>
  <si>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</si>
  <si>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</si>
  <si>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</si>
  <si>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</si>
  <si>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</si>
  <si>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</si>
  <si>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</si>
  <si>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</si>
  <si>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</si>
  <si>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</si>
  <si>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</si>
  <si>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</si>
  <si>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</si>
  <si>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</si>
  <si>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</si>
  <si>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</si>
  <si>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</si>
  <si>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</si>
  <si>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</si>
  <si>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</si>
  <si>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</si>
  <si>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</si>
  <si>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</si>
  <si>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</si>
  <si>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</si>
  <si>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</si>
  <si>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</si>
  <si>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</si>
  <si>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</si>
  <si>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</si>
  <si>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</si>
  <si>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</si>
  <si>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</si>
  <si>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</si>
  <si>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</si>
  <si>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</si>
  <si>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</si>
  <si>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</si>
  <si>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</si>
  <si>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</si>
  <si>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</si>
  <si>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</si>
  <si>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</si>
  <si>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</si>
  <si>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</si>
  <si>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</si>
  <si>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</si>
  <si>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</si>
  <si>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</si>
  <si>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</si>
  <si>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</si>
  <si>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</si>
  <si>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</si>
  <si>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</si>
  <si>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</si>
  <si>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</si>
  <si>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</si>
  <si>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</si>
  <si>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</si>
  <si>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</si>
  <si>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</si>
  <si>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</si>
  <si>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</si>
  <si>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</si>
  <si>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</si>
  <si>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</si>
  <si>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</si>
  <si>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</si>
  <si>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</si>
  <si>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</si>
  <si>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</si>
  <si>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</si>
  <si>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</si>
  <si>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</si>
  <si>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</si>
  <si>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</si>
  <si>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</si>
  <si>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</si>
  <si>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</si>
  <si>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</si>
  <si>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</si>
  <si>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</si>
  <si>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</si>
  <si>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</si>
  <si>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</si>
  <si>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</si>
  <si>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</si>
  <si>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</si>
  <si>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</si>
  <si>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</si>
  <si>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</si>
  <si>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</si>
  <si>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</si>
  <si>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</si>
  <si>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</si>
  <si>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</si>
  <si>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</si>
  <si>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</si>
  <si>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</si>
  <si>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</si>
  <si>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</si>
  <si>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</si>
  <si>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</si>
  <si>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</si>
  <si>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</si>
  <si>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</si>
  <si>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</si>
  <si>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</si>
  <si>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</si>
  <si>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</si>
  <si>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</si>
  <si>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</si>
  <si>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</si>
  <si>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</si>
  <si>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</si>
  <si>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</si>
  <si>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</si>
  <si>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</si>
  <si>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</si>
  <si>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</si>
  <si>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</si>
  <si>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</si>
  <si>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</si>
  <si>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</si>
  <si>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</si>
  <si>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</si>
  <si>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</si>
  <si>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</si>
  <si>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</si>
  <si>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</si>
  <si>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</si>
  <si>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</si>
  <si>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</si>
  <si>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</si>
  <si>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</si>
  <si>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</si>
  <si>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</si>
  <si>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</si>
  <si>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</si>
  <si>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</si>
  <si>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</si>
  <si>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</si>
  <si>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</si>
  <si>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</si>
  <si>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</si>
  <si>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</si>
  <si>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</si>
  <si>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</si>
  <si>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</si>
  <si>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</si>
  <si>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</si>
  <si>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</si>
  <si>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</si>
  <si>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</si>
  <si>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</si>
  <si>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</si>
  <si>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</si>
  <si>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</si>
  <si>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</si>
  <si>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</si>
  <si>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</si>
  <si>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</si>
  <si>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</si>
  <si>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</si>
  <si>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</si>
  <si>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</si>
  <si>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</si>
  <si>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</si>
  <si>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</si>
  <si>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</si>
  <si>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</si>
  <si>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</si>
  <si>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</si>
  <si>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</si>
  <si>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</si>
  <si>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</si>
  <si>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</si>
  <si>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</si>
  <si>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</si>
  <si>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</si>
  <si>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</si>
  <si>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</si>
  <si>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</si>
  <si>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</si>
  <si>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</si>
  <si>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</si>
  <si>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</si>
  <si>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</si>
  <si>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</si>
  <si>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</si>
  <si>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</si>
  <si>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</si>
  <si>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</si>
  <si>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</si>
  <si>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</si>
  <si>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</si>
  <si>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</si>
  <si>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</si>
  <si>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</si>
  <si>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</si>
  <si>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</si>
  <si>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</si>
  <si>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</si>
  <si>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</si>
  <si>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</si>
  <si>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</si>
  <si>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</si>
  <si>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</si>
  <si>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</si>
  <si>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</si>
  <si>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</si>
  <si>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</si>
  <si>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</si>
  <si>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</si>
  <si>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</si>
  <si>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</si>
  <si>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</si>
  <si>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</si>
  <si>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</si>
  <si>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</si>
  <si>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</si>
  <si>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</si>
  <si>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</si>
  <si>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</si>
  <si>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</si>
  <si>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</si>
  <si>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</si>
  <si>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</si>
  <si>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</si>
  <si>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</si>
  <si>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</si>
  <si>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</si>
  <si>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</si>
  <si>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</si>
  <si>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</si>
  <si>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</si>
  <si>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</si>
  <si>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</si>
  <si>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</si>
  <si>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</si>
  <si>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</si>
  <si>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</si>
  <si>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</si>
  <si>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</si>
  <si>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</si>
  <si>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</si>
  <si>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</si>
  <si>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</si>
  <si>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</si>
  <si>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</si>
  <si>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</si>
  <si>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</si>
  <si>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</si>
  <si>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</si>
  <si>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</si>
  <si>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</si>
  <si>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</si>
  <si>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</si>
  <si>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</si>
  <si>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</si>
  <si>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</si>
  <si>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</si>
  <si>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</si>
  <si>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</si>
  <si>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</si>
  <si>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</si>
  <si>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</si>
  <si>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</si>
  <si>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</si>
  <si>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</si>
  <si>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</si>
  <si>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</si>
  <si>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</si>
  <si>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</si>
  <si>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</si>
  <si>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</si>
  <si>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</si>
  <si>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</si>
  <si>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</si>
  <si>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</si>
  <si>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</si>
  <si>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</si>
  <si>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</si>
  <si>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</si>
  <si>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</si>
  <si>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</si>
  <si>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</si>
  <si>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</si>
  <si>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</si>
  <si>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</si>
  <si>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</si>
  <si>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</si>
  <si>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</si>
  <si>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</si>
  <si>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</si>
  <si>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</si>
  <si>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</si>
  <si>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</si>
  <si>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</si>
  <si>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</si>
  <si>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</si>
  <si>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</si>
  <si>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</si>
  <si>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</si>
  <si>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</si>
  <si>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</si>
  <si>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</si>
  <si>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</si>
  <si>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</si>
  <si>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</si>
  <si>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</si>
  <si>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</si>
  <si>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</si>
  <si>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</si>
  <si>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</si>
  <si>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</si>
  <si>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</si>
  <si>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</si>
  <si>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</si>
  <si>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</si>
  <si>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</si>
  <si>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</si>
  <si>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</si>
  <si>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</si>
  <si>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</si>
  <si>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</si>
  <si>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</si>
  <si>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</si>
  <si>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</si>
  <si>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</si>
  <si>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</si>
  <si>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</si>
  <si>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</si>
  <si>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</si>
  <si>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</si>
  <si>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</si>
  <si>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</si>
  <si>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</si>
  <si>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</si>
  <si>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</si>
  <si>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</si>
  <si>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</si>
  <si>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</si>
  <si>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</si>
  <si>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</si>
  <si>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</si>
  <si>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</si>
  <si>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</si>
  <si>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</si>
  <si>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</si>
  <si>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</si>
  <si>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</si>
  <si>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</si>
  <si>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</si>
  <si>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</si>
  <si>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</si>
  <si>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</si>
  <si>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</si>
  <si>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</si>
  <si>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</si>
  <si>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</si>
  <si>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</si>
  <si>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</si>
  <si>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</si>
  <si>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</si>
  <si>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</si>
  <si>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</si>
  <si>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</si>
  <si>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</si>
  <si>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</si>
  <si>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</si>
  <si>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</si>
  <si>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</si>
  <si>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</si>
  <si>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</si>
  <si>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</si>
  <si>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</si>
  <si>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</si>
  <si>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</si>
  <si>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</si>
  <si>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</si>
  <si>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</si>
  <si>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</si>
  <si>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</si>
  <si>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</si>
  <si>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</si>
  <si>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</si>
  <si>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</si>
  <si>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</si>
  <si>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</si>
  <si>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</si>
  <si>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</si>
  <si>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</si>
  <si>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</si>
  <si>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</si>
  <si>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</si>
  <si>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</si>
  <si>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</si>
  <si>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</si>
  <si>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</si>
  <si>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</si>
  <si>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</si>
  <si>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</si>
  <si>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</si>
  <si>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</si>
  <si>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</si>
  <si>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</si>
  <si>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</si>
  <si>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</si>
  <si>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</si>
  <si>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</si>
  <si>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</si>
  <si>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</si>
  <si>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</si>
  <si>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</si>
  <si>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</si>
  <si>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</si>
  <si>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</si>
  <si>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</si>
  <si>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</si>
  <si>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</si>
  <si>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</si>
  <si>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</si>
  <si>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</si>
  <si>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</si>
  <si>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</si>
  <si>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</si>
  <si>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</si>
  <si>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</si>
  <si>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</si>
  <si>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</si>
  <si>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</si>
  <si>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</si>
  <si>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</si>
  <si>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</si>
  <si>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</si>
  <si>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</si>
  <si>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</si>
  <si>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</si>
  <si>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</si>
  <si>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</si>
  <si>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</si>
  <si>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</si>
  <si>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</si>
  <si>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</si>
  <si>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</si>
  <si>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</si>
  <si>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</si>
  <si>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</si>
  <si>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</si>
  <si>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</si>
  <si>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</si>
  <si>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</si>
  <si>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</si>
  <si>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</si>
  <si>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</si>
  <si>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</si>
  <si>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</si>
  <si>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</si>
  <si>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</si>
  <si>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</si>
  <si>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</si>
  <si>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</si>
  <si>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</si>
  <si>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</si>
  <si>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</si>
  <si>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</si>
  <si>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</si>
  <si>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</si>
  <si>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</si>
  <si>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</si>
  <si>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</si>
  <si>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</si>
  <si>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</si>
  <si>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</si>
  <si>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</si>
  <si>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</si>
  <si>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</si>
  <si>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</si>
  <si>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</si>
  <si>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</si>
  <si>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</si>
  <si>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</si>
  <si>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</si>
  <si>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</si>
  <si>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</si>
  <si>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</si>
  <si>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</si>
  <si>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</si>
  <si>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</si>
  <si>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</si>
  <si>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</si>
  <si>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</si>
  <si>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</si>
  <si>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</si>
  <si>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</si>
  <si>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</si>
  <si>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</si>
  <si>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</si>
  <si>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</si>
  <si>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</si>
  <si>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</si>
  <si>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</si>
  <si>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</si>
  <si>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</si>
  <si>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</si>
  <si>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</si>
  <si>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</si>
  <si>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</si>
  <si>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</si>
  <si>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</si>
  <si>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</si>
  <si>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</si>
  <si>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</si>
  <si>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</si>
  <si>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</si>
  <si>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</si>
  <si>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</si>
  <si>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</si>
  <si>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</si>
  <si>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</si>
  <si>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</si>
  <si>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</si>
  <si>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</si>
  <si>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</si>
  <si>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</si>
  <si>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</si>
  <si>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</si>
  <si>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</si>
  <si>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</si>
  <si>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</si>
  <si>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</si>
  <si>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</si>
  <si>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</si>
  <si>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</si>
  <si>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</si>
  <si>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</si>
  <si>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</si>
  <si>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</si>
  <si>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</si>
  <si>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</si>
  <si>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</si>
  <si>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</si>
  <si>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</si>
  <si>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</si>
  <si>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</si>
  <si>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</si>
  <si>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</si>
  <si>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</si>
  <si>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</si>
  <si>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</si>
  <si>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</si>
  <si>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</si>
  <si>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</si>
  <si>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</si>
  <si>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</si>
  <si>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</si>
  <si>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</si>
  <si>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</si>
  <si>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</si>
  <si>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</si>
  <si>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</si>
  <si>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</si>
  <si>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</si>
  <si>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</si>
  <si>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</si>
  <si>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</si>
  <si>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</si>
  <si>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</si>
  <si>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</si>
  <si>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</si>
  <si>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</si>
  <si>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</si>
  <si>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</si>
  <si>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</si>
  <si>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</si>
  <si>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</si>
  <si>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</si>
  <si>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</si>
  <si>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</si>
  <si>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</si>
  <si>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</si>
  <si>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</si>
  <si>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</si>
  <si>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</si>
  <si>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</si>
  <si>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</si>
  <si>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</si>
  <si>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</si>
  <si>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</si>
  <si>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</si>
  <si>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</si>
  <si>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</si>
  <si>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</si>
  <si>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</si>
  <si>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</si>
  <si>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</si>
  <si>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</si>
  <si>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</si>
  <si>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</si>
  <si>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</si>
  <si>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</si>
  <si>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</si>
  <si>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</si>
  <si>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</si>
  <si>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</si>
  <si>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</si>
  <si>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</si>
  <si>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</si>
  <si>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</si>
  <si>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</si>
  <si>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</si>
  <si>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</si>
  <si>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</si>
  <si>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</si>
  <si>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</si>
  <si>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</si>
  <si>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</si>
  <si>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</si>
  <si>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</si>
  <si>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</si>
  <si>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</si>
  <si>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</si>
  <si>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</si>
  <si>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</si>
  <si>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</si>
  <si>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</si>
  <si>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</si>
  <si>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</si>
  <si>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</si>
  <si>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</si>
  <si>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</si>
  <si>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</si>
  <si>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</si>
  <si>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</si>
  <si>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</si>
  <si>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</si>
  <si>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</si>
  <si>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</si>
  <si>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</si>
  <si>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</si>
  <si>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</si>
  <si>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</si>
  <si>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</si>
  <si>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</si>
  <si>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</si>
  <si>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</si>
  <si>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</si>
  <si>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</si>
  <si>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</si>
  <si>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</si>
  <si>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</si>
  <si>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</si>
  <si>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</si>
  <si>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</si>
  <si>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</si>
  <si>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</si>
  <si>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</si>
  <si>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</si>
  <si>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</si>
  <si>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</si>
  <si>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</si>
  <si>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</si>
  <si>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</si>
  <si>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</si>
  <si>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</si>
  <si>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</si>
  <si>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</si>
  <si>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</si>
  <si>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</si>
  <si>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</si>
  <si>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</si>
  <si>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</si>
  <si>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</si>
  <si>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</si>
  <si>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</si>
  <si>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</si>
  <si>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</si>
  <si>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</si>
  <si>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</si>
  <si>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</si>
  <si>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</si>
  <si>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</si>
  <si>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</si>
  <si>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</si>
  <si>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</si>
  <si>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</si>
  <si>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</si>
  <si>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</si>
  <si>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</si>
  <si>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</si>
  <si>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</si>
  <si>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</si>
  <si>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</si>
  <si>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</si>
  <si>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</si>
  <si>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</si>
  <si>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</si>
  <si>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</si>
  <si>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</si>
  <si>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</si>
  <si>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</si>
  <si>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</si>
  <si>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</si>
  <si>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</si>
  <si>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</si>
  <si>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</si>
  <si>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</si>
  <si>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</si>
  <si>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</si>
  <si>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</si>
  <si>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</si>
  <si>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</si>
  <si>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</si>
  <si>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</si>
  <si>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</si>
  <si>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</si>
  <si>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</si>
  <si>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</si>
  <si>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</si>
  <si>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</si>
  <si>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</si>
  <si>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</si>
  <si>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</si>
  <si>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</si>
  <si>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</si>
  <si>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</si>
  <si>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</si>
  <si>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</si>
  <si>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</si>
  <si>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</si>
  <si>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</si>
  <si>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</si>
  <si>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</si>
  <si>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</si>
  <si>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</si>
  <si>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</si>
  <si>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</si>
  <si>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</si>
  <si>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</si>
  <si>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</si>
  <si>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</si>
  <si>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</si>
  <si>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</si>
  <si>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</si>
  <si>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</si>
  <si>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</si>
  <si>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</si>
  <si>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</si>
  <si>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</si>
  <si>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</si>
  <si>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</si>
  <si>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</si>
  <si>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</si>
  <si>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</si>
  <si>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</si>
  <si>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</si>
  <si>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</si>
  <si>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</si>
  <si>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</si>
  <si>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</si>
  <si>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</si>
  <si>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</si>
  <si>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</si>
  <si>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</si>
  <si>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</si>
  <si>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</si>
  <si>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</si>
  <si>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</si>
  <si>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</si>
  <si>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</si>
  <si>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</si>
  <si>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</si>
  <si>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</si>
  <si>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</si>
  <si>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</si>
  <si>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</si>
  <si>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</si>
  <si>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</si>
  <si>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</si>
  <si>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</si>
  <si>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</si>
  <si>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</si>
  <si>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</si>
  <si>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</si>
  <si>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</si>
  <si>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</si>
  <si>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</si>
  <si>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</si>
  <si>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</si>
  <si>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</si>
  <si>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</si>
  <si>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</si>
  <si>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</si>
  <si>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</si>
  <si>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</si>
  <si>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</si>
  <si>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</si>
  <si>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</si>
  <si>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</si>
  <si>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</si>
  <si>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</si>
  <si>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</si>
  <si>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</si>
  <si>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</si>
  <si>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</si>
  <si>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</si>
  <si>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</si>
  <si>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</si>
  <si>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</si>
  <si>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</si>
  <si>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</si>
  <si>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</si>
  <si>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</si>
  <si>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</si>
  <si>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</si>
  <si>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</si>
  <si>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</si>
  <si>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</si>
  <si>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</si>
  <si>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</si>
  <si>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</si>
  <si>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</si>
  <si>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</si>
  <si>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</si>
  <si>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</si>
  <si>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</si>
  <si>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</si>
  <si>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</si>
  <si>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</si>
  <si>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</si>
  <si>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</si>
  <si>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</si>
  <si>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</si>
  <si>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</si>
  <si>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</si>
  <si>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</si>
  <si>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</si>
  <si>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</si>
  <si>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</si>
  <si>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</si>
  <si>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</si>
  <si>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</si>
  <si>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</si>
  <si>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</si>
  <si>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</si>
  <si>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</si>
  <si>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</si>
  <si>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</si>
  <si>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</si>
  <si>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</si>
  <si>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</si>
  <si>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</si>
  <si>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</si>
  <si>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</si>
  <si>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</si>
  <si>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</si>
  <si>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</si>
  <si>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</si>
  <si>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</si>
  <si>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</si>
  <si>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</si>
  <si>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</si>
  <si>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</si>
  <si>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</si>
  <si>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</si>
  <si>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</si>
  <si>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</si>
  <si>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</si>
  <si>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</si>
  <si>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</si>
  <si>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</si>
  <si>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</si>
  <si>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</si>
  <si>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</si>
  <si>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</si>
  <si>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</si>
  <si>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</si>
  <si>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</si>
  <si>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</si>
  <si>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</si>
  <si>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</si>
  <si>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</si>
  <si>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</si>
  <si>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</si>
  <si>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</si>
  <si>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</si>
  <si>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</si>
  <si>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</si>
  <si>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</si>
  <si>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</si>
  <si>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</si>
  <si>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</si>
  <si>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</si>
  <si>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</si>
  <si>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</si>
  <si>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</si>
  <si>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</si>
  <si>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</si>
  <si>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</si>
  <si>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</si>
  <si>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</si>
  <si>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</si>
  <si>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</si>
  <si>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</si>
  <si>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</si>
  <si>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</si>
  <si>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</si>
  <si>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</si>
  <si>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</si>
  <si>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</si>
  <si>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</si>
  <si>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</si>
  <si>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</si>
  <si>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</si>
  <si>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</si>
  <si>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</si>
  <si>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</si>
  <si>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</si>
  <si>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</si>
  <si>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</si>
  <si>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</si>
  <si>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</si>
  <si>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</si>
  <si>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</si>
  <si>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</si>
  <si>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</si>
  <si>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</si>
  <si>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</si>
  <si>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</si>
  <si>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</si>
  <si>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</si>
  <si>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</si>
  <si>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</si>
  <si>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</si>
  <si>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</si>
  <si>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</si>
  <si>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</si>
  <si>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</si>
  <si>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</si>
  <si>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</si>
  <si>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</si>
  <si>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</si>
  <si>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</si>
  <si>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</si>
  <si>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</si>
  <si>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</si>
  <si>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</si>
  <si>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</si>
  <si>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</si>
  <si>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</si>
  <si>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</si>
  <si>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</si>
  <si>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</si>
  <si>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</si>
  <si>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</si>
  <si>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</si>
  <si>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</si>
  <si>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</si>
  <si>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</si>
  <si>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</si>
  <si>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</si>
  <si>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</si>
  <si>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</si>
  <si>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</si>
  <si>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</si>
  <si>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</si>
  <si>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</si>
  <si>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</si>
  <si>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</si>
  <si>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</si>
  <si>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</si>
  <si>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</si>
  <si>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</si>
  <si>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</si>
  <si>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</si>
  <si>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</si>
  <si>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</si>
  <si>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</si>
  <si>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</si>
  <si>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</si>
  <si>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</si>
  <si>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</si>
  <si>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</si>
  <si>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</si>
  <si>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</si>
  <si>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</si>
  <si>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</si>
  <si>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</si>
  <si>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</si>
  <si>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</si>
  <si>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</si>
  <si>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</si>
  <si>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</si>
  <si>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</si>
  <si>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</si>
  <si>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</si>
  <si>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</si>
  <si>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</si>
  <si>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</si>
  <si>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</si>
  <si>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</si>
  <si>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</si>
  <si>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</si>
  <si>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</si>
  <si>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</si>
  <si>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</si>
  <si>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</si>
  <si>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</si>
  <si>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</si>
  <si>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</si>
  <si>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</si>
  <si>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</si>
  <si>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</si>
  <si>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</si>
  <si>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</si>
  <si>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</si>
  <si>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</si>
  <si>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</si>
  <si>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</si>
  <si>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</si>
  <si>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</si>
  <si>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</si>
  <si>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</si>
  <si>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</si>
  <si>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</si>
  <si>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</si>
  <si>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</si>
  <si>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</si>
  <si>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</si>
  <si>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</si>
  <si>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</si>
  <si>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</si>
  <si>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</si>
  <si>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</si>
  <si>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</si>
  <si>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</si>
  <si>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</si>
  <si>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</si>
  <si>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</si>
  <si>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</si>
  <si>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</si>
  <si>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</si>
  <si>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</si>
  <si>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</si>
  <si>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</si>
  <si>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</si>
  <si>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</si>
  <si>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</si>
  <si>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</si>
  <si>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</si>
  <si>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</si>
  <si>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</si>
  <si>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</si>
  <si>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</si>
  <si>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</si>
  <si>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</si>
  <si>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</si>
  <si>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</si>
  <si>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</si>
  <si>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</si>
  <si>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</si>
  <si>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</si>
  <si>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</si>
  <si>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</si>
  <si>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</si>
  <si>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</si>
  <si>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</si>
  <si>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</si>
  <si>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</si>
  <si>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</si>
  <si>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</si>
  <si>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</si>
  <si>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</si>
  <si>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</si>
  <si>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</si>
  <si>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</si>
  <si>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</si>
  <si>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</si>
  <si>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</si>
  <si>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</si>
  <si>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</si>
  <si>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</si>
  <si>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</si>
  <si>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</si>
  <si>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</si>
  <si>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</si>
  <si>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</si>
  <si>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</si>
  <si>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</si>
  <si>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</si>
  <si>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</si>
  <si>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</si>
  <si>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</si>
  <si>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</si>
  <si>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</si>
  <si>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</si>
  <si>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</si>
  <si>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</si>
  <si>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</si>
  <si>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</si>
  <si>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</si>
  <si>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</si>
  <si>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</si>
  <si>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</si>
  <si>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</si>
  <si>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</si>
  <si>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</si>
  <si>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</si>
  <si>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</si>
  <si>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</si>
  <si>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</si>
  <si>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</si>
  <si>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</si>
  <si>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</si>
  <si>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</si>
  <si>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</si>
  <si>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</si>
  <si>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</si>
  <si>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</si>
  <si>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</si>
  <si>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</si>
  <si>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</si>
  <si>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</si>
  <si>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</si>
  <si>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</si>
  <si>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</si>
  <si>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</si>
  <si>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</si>
  <si>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</si>
  <si>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</si>
  <si>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</si>
  <si>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</si>
  <si>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</si>
  <si>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</si>
  <si>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</si>
  <si>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</si>
  <si>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</si>
  <si>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</si>
  <si>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</si>
  <si>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</si>
  <si>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</si>
  <si>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</si>
  <si>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</si>
  <si>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</si>
  <si>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</si>
  <si>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</si>
  <si>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</si>
  <si>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</si>
  <si>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</si>
  <si>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</si>
  <si>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</si>
  <si>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</si>
  <si>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</si>
  <si>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</si>
  <si>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</si>
  <si>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</si>
  <si>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</si>
  <si>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</si>
  <si>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</si>
  <si>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</si>
  <si>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</si>
  <si>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</si>
  <si>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</si>
  <si>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</si>
  <si>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</si>
  <si>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</si>
  <si>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</si>
  <si>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</si>
  <si>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</si>
  <si>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</si>
  <si>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</si>
  <si>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</si>
  <si>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</si>
  <si>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</si>
  <si>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</si>
  <si>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</si>
  <si>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</si>
  <si>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</si>
  <si>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</si>
  <si>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</si>
  <si>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</si>
  <si>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</si>
  <si>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</si>
  <si>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</si>
  <si>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</si>
  <si>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</si>
  <si>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</si>
  <si>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</si>
  <si>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</si>
  <si>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</si>
  <si>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</si>
  <si>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</si>
  <si>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</si>
  <si>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</si>
  <si>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</si>
  <si>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</si>
  <si>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</si>
  <si>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</si>
  <si>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</si>
  <si>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</si>
  <si>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</si>
  <si>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</si>
  <si>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</si>
  <si>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</si>
  <si>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</si>
  <si>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</si>
  <si>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</si>
  <si>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</si>
  <si>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</si>
  <si>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</si>
  <si>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</si>
  <si>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</si>
  <si>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</si>
  <si>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</si>
  <si>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</si>
  <si>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</si>
  <si>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</si>
  <si>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</si>
  <si>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</si>
  <si>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</si>
  <si>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</si>
  <si>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</si>
  <si>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</si>
  <si>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</si>
  <si>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</si>
  <si>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</si>
  <si>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</si>
  <si>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</si>
  <si>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</si>
  <si>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</si>
  <si>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</si>
  <si>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</si>
  <si>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</si>
  <si>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</si>
  <si>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</si>
  <si>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</si>
  <si>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</si>
  <si>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</si>
  <si>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</si>
  <si>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</si>
  <si>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</si>
  <si>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</si>
  <si>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</si>
  <si>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</si>
  <si>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</si>
  <si>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</si>
  <si>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</si>
  <si>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</si>
  <si>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</si>
  <si>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</si>
  <si>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</si>
  <si>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</si>
  <si>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</si>
  <si>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</si>
  <si>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</si>
  <si>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</si>
  <si>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</si>
  <si>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</si>
  <si>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</si>
  <si>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</si>
  <si>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</si>
  <si>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</si>
  <si>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</si>
  <si>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</si>
  <si>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</si>
  <si>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</si>
  <si>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</si>
  <si>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</si>
  <si>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</si>
  <si>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</si>
  <si>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</si>
  <si>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</si>
  <si>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</si>
  <si>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</si>
  <si>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</si>
  <si>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</si>
  <si>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</si>
  <si>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</si>
  <si>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</si>
  <si>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</si>
  <si>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</si>
  <si>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</si>
  <si>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</si>
  <si>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</si>
  <si>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</si>
  <si>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</si>
  <si>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</si>
  <si>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</si>
  <si>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</si>
  <si>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</si>
  <si>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</si>
  <si>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</si>
  <si>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</si>
  <si>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</si>
  <si>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</si>
  <si>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</si>
  <si>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</si>
  <si>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</si>
  <si>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</si>
  <si>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</si>
  <si>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</si>
  <si>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</si>
  <si>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</si>
  <si>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</si>
  <si>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</si>
  <si>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</si>
  <si>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</si>
  <si>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</si>
  <si>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</si>
  <si>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</si>
  <si>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</si>
  <si>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</si>
  <si>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</si>
  <si>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</si>
  <si>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</si>
  <si>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</si>
  <si>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</si>
  <si>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</si>
  <si>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</si>
  <si>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</si>
  <si>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</si>
  <si>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</si>
  <si>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</si>
  <si>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</si>
  <si>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</si>
  <si>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</si>
  <si>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</si>
  <si>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</si>
  <si>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</si>
  <si>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</si>
  <si>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</si>
  <si>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</si>
  <si>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</si>
  <si>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</si>
  <si>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</si>
  <si>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</si>
  <si>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</si>
  <si>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</si>
  <si>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</si>
  <si>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</si>
  <si>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</si>
  <si>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</si>
  <si>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</si>
  <si>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</si>
  <si>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</si>
  <si>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</si>
  <si>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</si>
  <si>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</si>
  <si>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</si>
  <si>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</si>
  <si>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</si>
  <si>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</si>
  <si>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</si>
  <si>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</si>
  <si>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</si>
  <si>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</si>
  <si>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</si>
  <si>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</si>
  <si>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</si>
  <si>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</si>
  <si>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</si>
  <si>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</si>
  <si>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</si>
  <si>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</si>
  <si>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</si>
  <si>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</si>
  <si>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</si>
  <si>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</si>
  <si>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</si>
  <si>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</si>
  <si>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</si>
  <si>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</si>
  <si>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</si>
  <si>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</si>
  <si>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</si>
  <si>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</si>
  <si>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</si>
  <si>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</si>
  <si>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</si>
  <si>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</si>
  <si>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</si>
  <si>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</si>
  <si>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</si>
  <si>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</si>
  <si>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</si>
  <si>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</si>
  <si>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</si>
  <si>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</si>
  <si>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</si>
  <si>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</si>
  <si>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</si>
  <si>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</si>
  <si>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</si>
  <si>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</si>
  <si>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</si>
  <si>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</si>
  <si>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</si>
  <si>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</si>
  <si>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</si>
  <si>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</si>
  <si>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</si>
  <si>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</si>
  <si>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</si>
  <si>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</si>
  <si>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</si>
  <si>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</si>
  <si>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</si>
  <si>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</si>
  <si>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</si>
  <si>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</si>
  <si>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</si>
  <si>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</si>
  <si>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</si>
  <si>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</si>
  <si>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</si>
  <si>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</si>
  <si>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</si>
  <si>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</si>
  <si>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</si>
  <si>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</si>
  <si>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</si>
  <si>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</si>
  <si>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</si>
  <si>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</si>
  <si>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</si>
  <si>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</si>
  <si>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</si>
  <si>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</si>
  <si>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</si>
  <si>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</si>
  <si>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</si>
  <si>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</si>
  <si>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</si>
  <si>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</si>
  <si>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</si>
  <si>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</si>
  <si>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</si>
  <si>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</si>
  <si>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</si>
  <si>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</si>
  <si>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</si>
  <si>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</si>
  <si>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</si>
  <si>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</si>
  <si>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</si>
  <si>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</si>
  <si>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</si>
  <si>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</si>
  <si>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</si>
  <si>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</si>
  <si>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</si>
  <si>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</si>
  <si>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</si>
  <si>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</si>
  <si>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</si>
  <si>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</si>
  <si>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</si>
  <si>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</si>
  <si>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</si>
  <si>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</si>
  <si>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</si>
  <si>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</si>
  <si>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</si>
  <si>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</si>
  <si>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</si>
  <si>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</si>
  <si>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</si>
  <si>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</si>
  <si>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</si>
  <si>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</si>
  <si>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</si>
  <si>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</si>
  <si>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</si>
  <si>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</si>
  <si>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</si>
  <si>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</si>
  <si>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</si>
  <si>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</si>
  <si>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</si>
  <si>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</si>
  <si>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</si>
  <si>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</si>
  <si>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</si>
  <si>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</si>
  <si>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</si>
  <si>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</si>
  <si>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</si>
  <si>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</si>
  <si>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</si>
  <si>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</si>
  <si>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</si>
  <si>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</si>
  <si>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</si>
  <si>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</si>
  <si>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</si>
  <si>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</si>
  <si>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</si>
  <si>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</si>
  <si>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</si>
  <si>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</si>
  <si>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</si>
  <si>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</si>
  <si>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</si>
  <si>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</si>
  <si>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</si>
  <si>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</si>
  <si>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</si>
  <si>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</si>
  <si>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</si>
  <si>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</si>
  <si>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</si>
  <si>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</si>
  <si>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</si>
  <si>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</si>
  <si>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</si>
  <si>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</si>
  <si>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</si>
  <si>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</si>
  <si>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</si>
  <si>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</si>
  <si>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</si>
  <si>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</si>
  <si>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</si>
  <si>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</si>
  <si>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</si>
  <si>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</si>
  <si>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</si>
  <si>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</si>
  <si>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</si>
  <si>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</si>
  <si>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</si>
  <si>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</si>
  <si>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</si>
  <si>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</si>
  <si>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</si>
  <si>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</si>
  <si>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</si>
  <si>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</si>
  <si>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</si>
  <si>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</si>
  <si>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</si>
  <si>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</si>
  <si>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</si>
  <si>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</si>
  <si>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</si>
  <si>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</si>
  <si>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</si>
  <si>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</si>
  <si>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</si>
  <si>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</si>
  <si>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</si>
  <si>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</si>
  <si>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</si>
  <si>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</si>
  <si>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</si>
  <si>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</si>
  <si>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</si>
  <si>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</si>
  <si>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</si>
  <si>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</si>
  <si>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</si>
  <si>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</si>
  <si>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</si>
  <si>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</si>
  <si>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</si>
  <si>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</si>
  <si>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</si>
  <si>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</si>
  <si>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</si>
  <si>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</si>
  <si>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</si>
  <si>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</si>
  <si>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</si>
  <si>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</si>
  <si>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</si>
  <si>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</si>
  <si>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</si>
  <si>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</si>
  <si>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</si>
  <si>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</si>
  <si>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</si>
  <si>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</si>
  <si>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</si>
  <si>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</si>
  <si>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</si>
  <si>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</si>
  <si>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</si>
  <si>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</si>
  <si>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</si>
  <si>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</si>
  <si>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</si>
  <si>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</si>
  <si>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</si>
  <si>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</si>
  <si>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</si>
  <si>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</si>
  <si>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</si>
  <si>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</si>
  <si>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</si>
  <si>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</si>
  <si>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</si>
  <si>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</si>
  <si>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</si>
  <si>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</si>
  <si>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</si>
  <si>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</si>
  <si>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</si>
  <si>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</si>
  <si>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</si>
  <si>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</si>
  <si>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</si>
  <si>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</si>
  <si>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</si>
  <si>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</si>
  <si>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</si>
  <si>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</si>
  <si>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</si>
  <si>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</si>
  <si>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</si>
  <si>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</si>
  <si>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</si>
  <si>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</si>
  <si>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</si>
  <si>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</si>
  <si>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</si>
  <si>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</si>
  <si>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</si>
  <si>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</si>
  <si>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</si>
  <si>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</si>
  <si>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</si>
  <si>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</si>
  <si>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</si>
  <si>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</si>
  <si>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</si>
  <si>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</si>
  <si>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</si>
  <si>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</si>
  <si>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</si>
  <si>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</si>
  <si>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</si>
  <si>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</si>
  <si>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</si>
  <si>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</si>
  <si>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</si>
  <si>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</si>
  <si>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</si>
  <si>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</si>
  <si>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</si>
  <si>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</si>
  <si>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</si>
  <si>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</si>
  <si>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</si>
  <si>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</si>
  <si>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</si>
  <si>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</si>
  <si>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</si>
  <si>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</si>
  <si>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</si>
  <si>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</si>
  <si>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</si>
  <si>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</si>
  <si>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</si>
  <si>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</si>
  <si>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</si>
  <si>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</si>
  <si>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</si>
  <si>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</si>
  <si>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</si>
  <si>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</si>
  <si>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</si>
  <si>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</si>
  <si>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</si>
  <si>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</si>
  <si>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</si>
  <si>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</si>
  <si>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</si>
  <si>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</si>
  <si>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</si>
  <si>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</si>
  <si>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</si>
  <si>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</si>
  <si>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</si>
  <si>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</si>
  <si>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</si>
  <si>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</si>
  <si>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</si>
  <si>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</si>
  <si>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</si>
  <si>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</si>
  <si>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</si>
  <si>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</si>
  <si>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</si>
  <si>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</si>
  <si>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</si>
  <si>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</si>
  <si>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</si>
  <si>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</si>
  <si>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</si>
  <si>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</si>
  <si>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</si>
  <si>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</si>
  <si>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</si>
  <si>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</si>
  <si>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</si>
  <si>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</si>
  <si>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</si>
  <si>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</si>
  <si>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</si>
  <si>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</si>
  <si>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</si>
  <si>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</si>
  <si>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</si>
  <si>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</si>
  <si>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</si>
  <si>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</si>
  <si>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</si>
  <si>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</si>
  <si>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</si>
  <si>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</si>
  <si>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</si>
  <si>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</si>
  <si>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</si>
  <si>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</si>
  <si>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</si>
  <si>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</si>
  <si>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</si>
  <si>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</si>
  <si>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</si>
  <si>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</si>
  <si>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</si>
  <si>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</si>
  <si>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</si>
  <si>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</si>
  <si>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</si>
  <si>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</si>
  <si>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</si>
  <si>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</si>
  <si>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</si>
  <si>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</si>
  <si>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</si>
  <si>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</si>
  <si>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</si>
  <si>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</si>
  <si>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</si>
  <si>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</si>
  <si>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</si>
  <si>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</si>
  <si>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</si>
  <si>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</si>
  <si>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</si>
  <si>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</si>
  <si>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</si>
  <si>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</si>
  <si>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</si>
  <si>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</si>
  <si>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</si>
  <si>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</si>
  <si>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</si>
  <si>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</si>
  <si>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</si>
  <si>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</si>
  <si>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</si>
  <si>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</si>
  <si>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</si>
  <si>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</si>
  <si>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</si>
  <si>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</si>
  <si>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</si>
  <si>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</si>
  <si>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</si>
  <si>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</si>
  <si>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</si>
  <si>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</si>
  <si>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</si>
  <si>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</si>
  <si>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</si>
  <si>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</si>
  <si>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</si>
  <si>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</si>
  <si>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</si>
  <si>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</si>
  <si>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</si>
  <si>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</si>
  <si>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</si>
  <si>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</si>
  <si>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</si>
  <si>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</si>
  <si>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</si>
  <si>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</si>
  <si>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</si>
  <si>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</si>
  <si>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</si>
  <si>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</si>
  <si>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</si>
  <si>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</si>
  <si>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</si>
  <si>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</si>
  <si>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</si>
  <si>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</si>
  <si>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</si>
  <si>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</si>
  <si>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</si>
  <si>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</si>
  <si>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</si>
  <si>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</si>
  <si>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</si>
  <si>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</si>
  <si>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</si>
  <si>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</si>
  <si>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</si>
  <si>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</si>
  <si>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</si>
  <si>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</si>
  <si>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</si>
  <si>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</si>
  <si>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</si>
  <si>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</si>
  <si>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</si>
  <si>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</si>
  <si>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</si>
  <si>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</si>
  <si>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</si>
  <si>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</si>
  <si>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</si>
  <si>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</si>
  <si>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</si>
  <si>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</si>
  <si>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</si>
  <si>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</si>
  <si>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</si>
  <si>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</si>
  <si>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</si>
  <si>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</si>
  <si>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</si>
  <si>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</si>
  <si>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</si>
  <si>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</si>
  <si>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</si>
  <si>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</si>
  <si>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</si>
  <si>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</si>
  <si>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</si>
  <si>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</si>
  <si>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</si>
  <si>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</si>
  <si>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</si>
  <si>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</si>
  <si>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</si>
  <si>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</si>
  <si>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</si>
  <si>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</si>
  <si>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</si>
  <si>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</si>
  <si>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</si>
  <si>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</si>
  <si>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</si>
  <si>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</si>
  <si>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</si>
  <si>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</si>
  <si>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</si>
  <si>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</si>
  <si>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</si>
  <si>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</si>
  <si>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</si>
  <si>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</si>
  <si>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</si>
  <si>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</si>
  <si>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</si>
  <si>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</si>
  <si>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</si>
  <si>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</si>
  <si>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</si>
  <si>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</si>
  <si>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</si>
  <si>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</si>
  <si>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</si>
  <si>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</si>
  <si>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</si>
  <si>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</si>
  <si>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</si>
  <si>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</si>
  <si>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</si>
  <si>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</si>
  <si>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</si>
  <si>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</si>
  <si>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</si>
  <si>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</si>
  <si>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</si>
  <si>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</si>
  <si>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</si>
  <si>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</si>
  <si>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</si>
  <si>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</si>
  <si>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</si>
  <si>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</si>
  <si>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</si>
  <si>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</si>
  <si>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</si>
  <si>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</si>
  <si>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</si>
  <si>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</si>
  <si>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</si>
  <si>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</si>
  <si>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</si>
  <si>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</si>
  <si>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</si>
  <si>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</si>
  <si>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</si>
  <si>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</si>
  <si>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</si>
  <si>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</si>
  <si>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</si>
  <si>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</si>
  <si>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</si>
  <si>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</si>
  <si>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</si>
  <si>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</si>
  <si>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</si>
  <si>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</si>
  <si>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</si>
  <si>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</si>
  <si>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</si>
  <si>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</si>
  <si>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</si>
  <si>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</si>
  <si>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</si>
  <si>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</si>
  <si>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</si>
  <si>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</si>
  <si>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</si>
  <si>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</si>
  <si>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</si>
  <si>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</si>
  <si>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</si>
  <si>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</si>
  <si>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</si>
  <si>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</si>
  <si>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</si>
  <si>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</si>
  <si>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</si>
  <si>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</si>
  <si>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</si>
  <si>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</si>
  <si>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</si>
  <si>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</si>
  <si>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</si>
  <si>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</si>
  <si>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</si>
  <si>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</si>
  <si>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</si>
  <si>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</si>
  <si>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</si>
  <si>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</si>
  <si>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</si>
  <si>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</si>
  <si>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</si>
  <si>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</si>
  <si>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</si>
  <si>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</si>
  <si>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</si>
  <si>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</si>
  <si>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</si>
  <si>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</si>
  <si>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</si>
  <si>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</si>
  <si>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</si>
  <si>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</si>
  <si>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</si>
  <si>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</si>
  <si>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</si>
  <si>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</si>
  <si>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</si>
  <si>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</si>
  <si>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</si>
  <si>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</si>
  <si>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</si>
  <si>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</si>
  <si>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</si>
  <si>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</si>
  <si>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</si>
  <si>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</si>
  <si>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</si>
  <si>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</si>
  <si>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</si>
  <si>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</si>
  <si>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</si>
  <si>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</si>
  <si>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</si>
  <si>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</si>
  <si>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</si>
  <si>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</si>
  <si>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</si>
  <si>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</si>
  <si>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</si>
  <si>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</si>
  <si>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</si>
  <si>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</si>
  <si>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</si>
  <si>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</si>
  <si>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</si>
  <si>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</si>
  <si>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</si>
  <si>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</si>
  <si>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</si>
  <si>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</si>
  <si>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</si>
  <si>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</si>
  <si>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</si>
  <si>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</si>
  <si>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</si>
  <si>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</si>
  <si>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</si>
  <si>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</si>
  <si>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</si>
  <si>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</si>
  <si>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</si>
  <si>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</si>
  <si>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</si>
  <si>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</si>
  <si>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</si>
  <si>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</si>
  <si>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</si>
  <si>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</si>
  <si>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</si>
  <si>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</si>
  <si>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</si>
  <si>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</si>
  <si>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</si>
  <si>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</si>
  <si>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</si>
  <si>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</si>
  <si>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</si>
  <si>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</si>
  <si>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</si>
  <si>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</si>
  <si>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</si>
  <si>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</si>
  <si>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</si>
  <si>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</si>
  <si>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</si>
  <si>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</si>
  <si>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</si>
  <si>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</si>
  <si>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</si>
  <si>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</si>
  <si>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</si>
  <si>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</si>
  <si>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</si>
  <si>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</si>
  <si>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</si>
  <si>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</si>
  <si>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</si>
  <si>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</si>
  <si>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</si>
  <si>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</si>
  <si>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</si>
  <si>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</si>
  <si>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</si>
  <si>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</si>
  <si>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</si>
  <si>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</si>
  <si>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</si>
  <si>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</si>
  <si>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</si>
  <si>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</si>
  <si>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</si>
  <si>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</si>
  <si>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</si>
  <si>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</si>
  <si>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</si>
  <si>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</si>
  <si>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</si>
  <si>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</si>
  <si>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</si>
  <si>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</si>
  <si>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</si>
  <si>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</si>
  <si>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</si>
  <si>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</si>
  <si>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</si>
  <si>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</si>
  <si>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</si>
  <si>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</si>
  <si>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</si>
  <si>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</si>
  <si>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</si>
  <si>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</si>
  <si>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</si>
  <si>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</si>
  <si>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</si>
  <si>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</si>
  <si>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</si>
  <si>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</si>
  <si>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</si>
  <si>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</si>
  <si>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</si>
  <si>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</si>
  <si>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</si>
  <si>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</si>
  <si>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</si>
  <si>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</si>
  <si>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</si>
  <si>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</si>
  <si>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</si>
  <si>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</si>
  <si>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</si>
  <si>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</si>
  <si>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</si>
  <si>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</si>
  <si>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</si>
  <si>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</si>
  <si>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</si>
  <si>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</si>
  <si>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</si>
  <si>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</si>
  <si>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</si>
  <si>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</si>
  <si>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</si>
  <si>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</si>
  <si>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</si>
  <si>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</si>
  <si>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</si>
  <si>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</si>
  <si>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</si>
  <si>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</si>
  <si>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</si>
  <si>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</si>
  <si>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</si>
  <si>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</si>
  <si>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</si>
  <si>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</si>
  <si>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</si>
  <si>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</si>
  <si>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</si>
  <si>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</si>
  <si>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</si>
  <si>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</si>
  <si>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</si>
  <si>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</si>
  <si>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</si>
  <si>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</si>
  <si>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</si>
  <si>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</si>
  <si>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</si>
  <si>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</si>
  <si>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</si>
  <si>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</si>
  <si>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</si>
  <si>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</si>
  <si>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</si>
  <si>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</si>
  <si>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</si>
  <si>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</si>
  <si>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</si>
  <si>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</si>
  <si>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</si>
  <si>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</si>
  <si>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</si>
  <si>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</si>
  <si>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</si>
  <si>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</si>
  <si>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</si>
  <si>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</si>
  <si>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</si>
  <si>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</si>
  <si>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</si>
  <si>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</si>
  <si>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</si>
  <si>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</si>
  <si>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</si>
  <si>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</si>
  <si>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</si>
  <si>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</si>
  <si>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</si>
  <si>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</si>
  <si>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</si>
  <si>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</si>
  <si>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</si>
  <si>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</si>
  <si>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</si>
  <si>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</si>
  <si>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</si>
  <si>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</si>
  <si>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</si>
  <si>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</si>
  <si>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</si>
  <si>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</si>
  <si>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</si>
  <si>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</si>
  <si>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</si>
  <si>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</si>
  <si>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</si>
  <si>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</si>
  <si>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</si>
  <si>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</si>
  <si>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</si>
  <si>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</si>
  <si>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</si>
  <si>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</si>
  <si>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</si>
  <si>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</si>
  <si>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</si>
  <si>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</si>
  <si>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</si>
  <si>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</si>
  <si>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</si>
  <si>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</si>
  <si>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</si>
  <si>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</si>
  <si>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</si>
  <si>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</si>
  <si>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</si>
  <si>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</si>
  <si>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</si>
  <si>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</si>
  <si>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</si>
  <si>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</si>
  <si>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</si>
  <si>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</si>
  <si>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</si>
  <si>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</si>
  <si>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</si>
  <si>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</si>
  <si>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</si>
  <si>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</si>
  <si>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</si>
  <si>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</si>
  <si>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</si>
  <si>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</si>
  <si>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</si>
  <si>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</si>
  <si>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</si>
  <si>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</si>
  <si>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</si>
  <si>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</si>
  <si>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</si>
  <si>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</si>
  <si>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</si>
  <si>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</si>
  <si>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</si>
  <si>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</si>
  <si>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</si>
  <si>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</si>
  <si>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</si>
  <si>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</si>
  <si>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</si>
  <si>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</si>
  <si>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</si>
  <si>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</si>
  <si>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</si>
  <si>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</si>
  <si>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</si>
  <si>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</si>
  <si>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</si>
  <si>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</si>
  <si>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</si>
  <si>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</si>
  <si>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</si>
  <si>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</si>
  <si>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</si>
  <si>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</si>
  <si>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</si>
  <si>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</si>
  <si>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</si>
  <si>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</si>
  <si>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</si>
  <si>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</si>
  <si>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</si>
  <si>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</si>
  <si>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</si>
  <si>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</si>
  <si>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</si>
  <si>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</si>
  <si>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</si>
  <si>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</si>
  <si>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</si>
  <si>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</si>
  <si>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</si>
  <si>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</si>
  <si>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</si>
  <si>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</si>
  <si>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</si>
  <si>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</si>
  <si>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</si>
  <si>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</si>
  <si>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</si>
  <si>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</si>
  <si>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</si>
  <si>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</si>
  <si>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</si>
  <si>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</si>
  <si>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</si>
  <si>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</si>
  <si>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</si>
  <si>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</si>
  <si>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</si>
  <si>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</si>
  <si>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</si>
  <si>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</si>
  <si>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</si>
  <si>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</si>
  <si>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</si>
  <si>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</si>
  <si>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</si>
  <si>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</si>
  <si>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</si>
  <si>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</si>
  <si>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</si>
  <si>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</si>
  <si>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</si>
  <si>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</si>
  <si>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</si>
  <si>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</si>
  <si>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</si>
  <si>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</si>
  <si>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</si>
  <si>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</si>
  <si>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</si>
  <si>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</si>
  <si>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</si>
  <si>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</si>
  <si>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</si>
  <si>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</si>
  <si>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</si>
  <si>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</si>
  <si>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</si>
  <si>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</si>
  <si>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</si>
  <si>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</si>
  <si>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</si>
  <si>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</si>
  <si>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</si>
  <si>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</si>
  <si>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</si>
  <si>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</si>
  <si>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</si>
  <si>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</si>
  <si>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</si>
  <si>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</si>
  <si>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</si>
  <si>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</si>
  <si>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</si>
  <si>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</si>
  <si>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</si>
  <si>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</si>
  <si>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</si>
  <si>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</si>
  <si>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</si>
  <si>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</si>
  <si>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</si>
  <si>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</si>
  <si>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</si>
  <si>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</si>
  <si>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</si>
  <si>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</si>
  <si>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</si>
  <si>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</si>
  <si>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</si>
  <si>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</si>
  <si>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</si>
  <si>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</si>
  <si>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</si>
  <si>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</si>
  <si>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</si>
  <si>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</si>
  <si>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</si>
  <si>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</si>
  <si>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</si>
  <si>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</si>
  <si>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</si>
  <si>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</si>
  <si>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</si>
  <si>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</si>
  <si>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</si>
  <si>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</si>
  <si>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</si>
  <si>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</si>
  <si>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</si>
  <si>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</si>
  <si>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</si>
  <si>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</si>
  <si>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</si>
  <si>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</si>
  <si>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</si>
  <si>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</si>
  <si>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</si>
  <si>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</si>
  <si>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</si>
  <si>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</si>
  <si>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</si>
  <si>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</si>
  <si>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</si>
  <si>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</si>
  <si>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</si>
  <si>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</si>
  <si>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</si>
  <si>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</si>
  <si>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</si>
  <si>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</si>
  <si>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</si>
  <si>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</si>
  <si>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</si>
  <si>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</si>
  <si>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</si>
  <si>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</si>
  <si>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</si>
  <si>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</si>
  <si>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</si>
  <si>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</si>
  <si>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</si>
  <si>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</si>
  <si>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</si>
  <si>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</si>
  <si>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</si>
  <si>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</si>
  <si>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</si>
  <si>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</si>
  <si>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</si>
  <si>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</si>
  <si>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</si>
  <si>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</si>
  <si>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</si>
  <si>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</si>
  <si>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</si>
  <si>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</si>
  <si>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</si>
  <si>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</si>
  <si>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</si>
  <si>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</si>
  <si>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</si>
  <si>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</si>
  <si>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</si>
  <si>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</si>
  <si>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</si>
  <si>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</si>
  <si>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</si>
  <si>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</si>
  <si>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</si>
  <si>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</si>
  <si>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</si>
  <si>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</si>
  <si>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</si>
  <si>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</si>
  <si>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</si>
  <si>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</si>
  <si>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</si>
  <si>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</si>
  <si>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</si>
  <si>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</si>
  <si>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</si>
  <si>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</si>
  <si>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</si>
  <si>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</si>
  <si>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</si>
  <si>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</si>
  <si>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</si>
  <si>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</si>
  <si>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</si>
  <si>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</si>
  <si>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</si>
  <si>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</si>
  <si>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</si>
  <si>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</si>
  <si>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</si>
  <si>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</si>
  <si>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</si>
  <si>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</si>
  <si>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</si>
  <si>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</si>
  <si>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</si>
  <si>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</si>
  <si>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</si>
  <si>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</si>
  <si>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</si>
  <si>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</si>
  <si>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</si>
  <si>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</si>
  <si>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</si>
  <si>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</si>
  <si>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</si>
  <si>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</si>
  <si>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</si>
  <si>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</si>
  <si>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</si>
  <si>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</si>
  <si>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</si>
  <si>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</si>
  <si>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</si>
  <si>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</si>
  <si>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</si>
  <si>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</si>
  <si>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</si>
  <si>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</si>
  <si>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</si>
  <si>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</si>
  <si>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</si>
  <si>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</si>
  <si>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</si>
  <si>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</si>
  <si>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</si>
  <si>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</si>
  <si>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</si>
  <si>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</si>
  <si>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</si>
  <si>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</si>
  <si>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</si>
  <si>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</si>
  <si>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</si>
  <si>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</si>
  <si>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</si>
  <si>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</si>
  <si>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</si>
  <si>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</si>
  <si>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</si>
  <si>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</si>
  <si>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</si>
  <si>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</si>
  <si>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</si>
  <si>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</si>
  <si>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</si>
  <si>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</si>
  <si>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</si>
  <si>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</si>
  <si>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</si>
  <si>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</si>
  <si>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</si>
  <si>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</si>
  <si>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</si>
  <si>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</si>
  <si>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</si>
  <si>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</si>
  <si>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</si>
  <si>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</si>
  <si>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</si>
  <si>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</si>
  <si>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</si>
  <si>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</si>
  <si>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</si>
  <si>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</si>
  <si>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</si>
  <si>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</si>
  <si>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</si>
  <si>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</si>
  <si>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</si>
  <si>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</si>
  <si>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</si>
  <si>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</si>
  <si>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</si>
  <si>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</si>
  <si>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</si>
  <si>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</si>
  <si>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</si>
  <si>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</si>
  <si>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</si>
  <si>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</si>
  <si>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</si>
  <si>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</si>
  <si>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</si>
  <si>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</si>
  <si>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</si>
  <si>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</si>
  <si>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</si>
  <si>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</si>
  <si>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</si>
  <si>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</si>
  <si>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</si>
  <si>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</si>
  <si>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</si>
  <si>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</si>
  <si>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</si>
  <si>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</si>
  <si>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</si>
  <si>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</si>
  <si>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</si>
  <si>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</si>
  <si>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</si>
  <si>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</si>
  <si>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</si>
  <si>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</si>
  <si>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</si>
  <si>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</si>
  <si>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</si>
  <si>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</si>
  <si>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</si>
  <si>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</si>
  <si>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</si>
  <si>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</si>
  <si>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</si>
  <si>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</si>
  <si>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</si>
  <si>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</si>
  <si>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</si>
  <si>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</si>
  <si>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</si>
  <si>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</si>
  <si>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</si>
  <si>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</si>
  <si>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</si>
  <si>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</si>
  <si>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</si>
  <si>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</si>
  <si>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</si>
  <si>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</si>
  <si>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</si>
  <si>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</si>
  <si>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</si>
  <si>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</si>
  <si>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</si>
  <si>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</si>
  <si>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</si>
  <si>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</si>
  <si>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</si>
  <si>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</si>
  <si>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</si>
  <si>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</si>
  <si>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</si>
  <si>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</si>
  <si>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</si>
  <si>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</si>
  <si>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</si>
  <si>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</si>
  <si>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</si>
  <si>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</si>
  <si>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</si>
  <si>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</si>
  <si>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</si>
  <si>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</si>
  <si>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</si>
  <si>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</si>
  <si>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</si>
  <si>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</si>
  <si>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</si>
  <si>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</si>
  <si>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</si>
  <si>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</si>
  <si>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</si>
  <si>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</si>
  <si>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</si>
  <si>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</si>
  <si>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</si>
  <si>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</si>
  <si>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</si>
  <si>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</si>
  <si>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</si>
  <si>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</si>
  <si>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</si>
  <si>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</si>
  <si>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</si>
  <si>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</si>
  <si>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</si>
  <si>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</si>
  <si>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</si>
  <si>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</si>
  <si>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</si>
  <si>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</si>
  <si>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</si>
  <si>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</si>
  <si>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</si>
  <si>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</si>
  <si>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</si>
  <si>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</si>
  <si>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</si>
  <si>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</si>
  <si>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</si>
  <si>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</si>
  <si>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</si>
  <si>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</si>
  <si>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</si>
  <si>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</si>
  <si>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</si>
  <si>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</si>
  <si>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</si>
  <si>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</si>
  <si>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</si>
  <si>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</si>
  <si>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</si>
  <si>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</si>
  <si>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</si>
  <si>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</si>
  <si>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</si>
  <si>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</si>
  <si>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</si>
  <si>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</si>
  <si>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</si>
  <si>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</si>
  <si>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</si>
  <si>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</si>
  <si>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</si>
  <si>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</si>
  <si>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</si>
  <si>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</si>
  <si>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</si>
  <si>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</si>
  <si>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</si>
  <si>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</si>
  <si>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</si>
  <si>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</si>
  <si>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</si>
  <si>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</si>
  <si>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</si>
  <si>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</si>
  <si>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</si>
  <si>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</si>
  <si>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</si>
  <si>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</si>
  <si>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</si>
  <si>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</si>
  <si>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</si>
  <si>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</si>
  <si>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</si>
  <si>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</si>
  <si>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</si>
  <si>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</si>
  <si>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</si>
  <si>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</si>
  <si>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</si>
  <si>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</si>
  <si>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</si>
  <si>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</si>
  <si>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</si>
  <si>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</si>
  <si>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</si>
  <si>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</si>
  <si>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</si>
  <si>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</si>
  <si>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</si>
  <si>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</si>
  <si>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</si>
  <si>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</si>
  <si>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</si>
  <si>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</si>
  <si>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</si>
  <si>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</si>
  <si>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</si>
  <si>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</si>
  <si>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</si>
  <si>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</si>
  <si>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</si>
  <si>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</si>
  <si>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</si>
  <si>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</si>
  <si>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</si>
  <si>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</si>
  <si>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</si>
  <si>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</si>
  <si>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</si>
  <si>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</si>
  <si>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</si>
  <si>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</si>
  <si>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</si>
  <si>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</si>
  <si>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</si>
  <si>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</si>
  <si>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</si>
  <si>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</si>
  <si>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</si>
  <si>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</si>
  <si>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</si>
  <si>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</si>
  <si>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</si>
  <si>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</si>
  <si>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</si>
  <si>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</si>
  <si>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</si>
  <si>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</si>
  <si>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</si>
  <si>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</si>
  <si>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</si>
  <si>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</si>
  <si>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</si>
  <si>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</si>
  <si>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</si>
  <si>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</si>
  <si>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</si>
  <si>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</si>
  <si>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</si>
  <si>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</si>
  <si>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</si>
  <si>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</si>
  <si>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</si>
  <si>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</si>
  <si>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</si>
  <si>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</si>
  <si>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</si>
  <si>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</si>
  <si>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</si>
  <si>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</si>
  <si>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</si>
  <si>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</si>
  <si>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</si>
  <si>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</si>
  <si>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</si>
  <si>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</si>
  <si>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</si>
  <si>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</si>
  <si>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</si>
  <si>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</si>
  <si>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</si>
  <si>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</si>
  <si>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</si>
  <si>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</si>
  <si>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</si>
  <si>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</si>
  <si>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</si>
  <si>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</si>
  <si>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</si>
  <si>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</si>
  <si>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</si>
  <si>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</si>
  <si>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</si>
  <si>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</si>
  <si>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</si>
  <si>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</si>
  <si>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</si>
  <si>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</si>
  <si>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</si>
  <si>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</si>
  <si>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</si>
  <si>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</si>
  <si>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</si>
  <si>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</si>
  <si>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</si>
  <si>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</si>
  <si>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</si>
  <si>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</si>
  <si>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</si>
  <si>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</si>
  <si>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</si>
  <si>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</si>
  <si>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</si>
  <si>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</si>
  <si>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</si>
  <si>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</si>
  <si>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</si>
  <si>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</si>
  <si>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</si>
  <si>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</si>
  <si>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</si>
  <si>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</si>
  <si>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</si>
  <si>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</si>
  <si>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</si>
  <si>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</si>
  <si>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</si>
  <si>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</si>
  <si>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</si>
  <si>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</si>
  <si>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</si>
  <si>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</si>
  <si>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</si>
  <si>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</si>
  <si>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</si>
  <si>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</si>
  <si>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</si>
  <si>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</si>
  <si>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</si>
  <si>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</si>
  <si>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</si>
  <si>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</si>
  <si>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</si>
  <si>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</si>
  <si>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</si>
  <si>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</si>
  <si>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</si>
  <si>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</si>
  <si>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</si>
  <si>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</si>
  <si>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</si>
  <si>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</si>
  <si>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</si>
  <si>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</si>
  <si>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</si>
  <si>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</si>
  <si>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</si>
  <si>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</si>
  <si>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</si>
  <si>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</si>
  <si>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</si>
  <si>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</si>
  <si>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</si>
  <si>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</si>
  <si>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</si>
  <si>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</si>
  <si>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</si>
  <si>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</si>
  <si>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</si>
  <si>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</si>
  <si>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</si>
  <si>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</si>
  <si>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</si>
  <si>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</si>
  <si>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</si>
  <si>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</si>
  <si>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</si>
  <si>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</si>
  <si>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</si>
  <si>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</si>
  <si>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</si>
  <si>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</si>
  <si>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</si>
  <si>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</si>
  <si>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</si>
  <si>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</si>
  <si>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</si>
  <si>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</si>
  <si>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</si>
  <si>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</si>
  <si>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</si>
  <si>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</si>
  <si>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</si>
  <si>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</si>
  <si>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</si>
  <si>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</si>
  <si>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</si>
  <si>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</si>
  <si>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</si>
  <si>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</si>
  <si>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</si>
  <si>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</si>
  <si>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</si>
  <si>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</si>
  <si>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</si>
  <si>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</si>
  <si>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</si>
  <si>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</si>
  <si>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</si>
  <si>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</si>
  <si>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</si>
  <si>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</si>
  <si>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</si>
  <si>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</si>
  <si>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</si>
  <si>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</si>
  <si>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</si>
  <si>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</si>
  <si>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</si>
  <si>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</si>
  <si>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</si>
  <si>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</si>
  <si>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</si>
  <si>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</si>
  <si>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</si>
  <si>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</si>
  <si>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</si>
  <si>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</si>
  <si>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</si>
  <si>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</si>
  <si>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</si>
  <si>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</si>
  <si>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</si>
  <si>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</si>
  <si>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</si>
  <si>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</si>
  <si>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</si>
  <si>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</si>
  <si>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</si>
  <si>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</si>
  <si>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</si>
  <si>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</si>
  <si>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</si>
  <si>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</si>
  <si>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</si>
  <si>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</si>
  <si>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</si>
  <si>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</si>
  <si>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</si>
  <si>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</si>
  <si>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</si>
  <si>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</si>
  <si>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</si>
  <si>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</si>
  <si>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</si>
  <si>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</si>
  <si>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</si>
  <si>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</si>
  <si>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</si>
  <si>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</si>
  <si>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</si>
  <si>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</si>
  <si>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</si>
  <si>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</si>
  <si>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</si>
  <si>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</si>
  <si>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</si>
  <si>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</si>
  <si>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</si>
  <si>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</si>
  <si>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</si>
  <si>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</si>
  <si>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</si>
  <si>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</si>
  <si>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</si>
  <si>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</si>
  <si>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</si>
  <si>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</si>
  <si>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</si>
  <si>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</si>
  <si>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</si>
  <si>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</si>
  <si>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</si>
  <si>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</si>
  <si>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</si>
  <si>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</si>
  <si>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</si>
  <si>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</si>
  <si>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</si>
  <si>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</si>
  <si>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</si>
  <si>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</si>
  <si>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</si>
  <si>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</si>
  <si>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</si>
  <si>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</si>
  <si>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</si>
  <si>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</si>
  <si>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</si>
  <si>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</si>
  <si>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</si>
  <si>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</si>
  <si>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</si>
  <si>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</si>
  <si>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</si>
  <si>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</si>
  <si>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</si>
  <si>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</si>
  <si>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</si>
  <si>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</si>
  <si>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</si>
  <si>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</si>
  <si>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</si>
  <si>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</si>
  <si>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</si>
  <si>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</si>
  <si>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</si>
  <si>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</si>
  <si>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</si>
  <si>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</si>
  <si>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</si>
  <si>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</si>
  <si>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</si>
  <si>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</si>
  <si>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</si>
  <si>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</si>
  <si>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</si>
  <si>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</si>
  <si>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</si>
  <si>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</si>
  <si>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</si>
  <si>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</si>
  <si>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</si>
  <si>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</si>
  <si>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</si>
  <si>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</si>
  <si>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</si>
  <si>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</si>
  <si>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</si>
  <si>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</si>
  <si>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</si>
  <si>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</si>
  <si>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</si>
  <si>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</si>
  <si>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</si>
  <si>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</si>
  <si>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</si>
  <si>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</si>
  <si>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</si>
  <si>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</si>
  <si>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</si>
  <si>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</si>
  <si>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</si>
  <si>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</si>
  <si>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</si>
  <si>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</si>
  <si>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</si>
  <si>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</si>
  <si>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</si>
  <si>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</si>
  <si>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</si>
  <si>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</si>
  <si>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</si>
  <si>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</si>
  <si>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</si>
  <si>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</si>
  <si>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</si>
  <si>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</si>
  <si>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</si>
  <si>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</si>
  <si>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</si>
  <si>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</si>
  <si>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</si>
  <si>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</si>
  <si>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</si>
  <si>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</si>
  <si>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</si>
  <si>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</si>
  <si>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</si>
  <si>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</si>
  <si>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</si>
  <si>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</si>
  <si>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</si>
  <si>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</si>
  <si>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</si>
  <si>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</si>
  <si>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</si>
  <si>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</si>
  <si>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</si>
  <si>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</si>
  <si>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</si>
  <si>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</si>
  <si>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</si>
  <si>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</si>
  <si>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</si>
  <si>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</si>
  <si>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</si>
  <si>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</si>
  <si>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</si>
  <si>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</si>
  <si>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</si>
  <si>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</si>
  <si>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</si>
  <si>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</si>
  <si>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</si>
  <si>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</si>
  <si>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</si>
  <si>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</si>
  <si>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</si>
  <si>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</si>
  <si>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</si>
  <si>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</si>
  <si>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</si>
  <si>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</si>
  <si>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</si>
  <si>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</si>
  <si>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</si>
  <si>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</si>
  <si>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</si>
  <si>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</si>
  <si>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</si>
  <si>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</si>
  <si>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</si>
  <si>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</si>
  <si>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</si>
  <si>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</si>
  <si>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</si>
  <si>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</si>
  <si>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</si>
  <si>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</si>
  <si>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</si>
  <si>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</si>
  <si>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</si>
  <si>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</si>
  <si>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</si>
  <si>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</si>
  <si>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</si>
  <si>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</si>
  <si>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</si>
  <si>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</si>
  <si>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</si>
  <si>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</si>
  <si>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</si>
  <si>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</si>
  <si>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</si>
  <si>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</si>
  <si>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</si>
  <si>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</si>
  <si>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</si>
  <si>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</si>
  <si>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</si>
  <si>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</si>
  <si>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</si>
  <si>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</si>
  <si>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</si>
  <si>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</si>
  <si>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</si>
  <si>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</si>
  <si>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</si>
  <si>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</si>
  <si>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</si>
  <si>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</si>
  <si>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</si>
  <si>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</si>
  <si>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</si>
  <si>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</si>
  <si>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</si>
  <si>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</si>
  <si>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</si>
  <si>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</si>
  <si>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</si>
  <si>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</si>
  <si>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</si>
  <si>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</si>
  <si>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</si>
  <si>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</si>
  <si>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</si>
  <si>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</si>
  <si>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</si>
  <si>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</si>
  <si>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</si>
  <si>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</si>
  <si>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</si>
  <si>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</si>
  <si>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</si>
  <si>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</si>
  <si>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</si>
  <si>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</si>
  <si>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</si>
  <si>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</si>
  <si>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</si>
  <si>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</si>
  <si>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</si>
  <si>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</si>
  <si>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</si>
  <si>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</si>
  <si>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</si>
  <si>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</si>
  <si>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</si>
  <si>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</si>
  <si>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</si>
  <si>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</si>
  <si>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</si>
  <si>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</si>
  <si>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</si>
  <si>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</si>
  <si>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</si>
  <si>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</si>
  <si>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</si>
  <si>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</si>
  <si>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</si>
  <si>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</si>
  <si>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</si>
  <si>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</si>
  <si>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</si>
  <si>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</si>
  <si>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</si>
  <si>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</si>
  <si>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</si>
  <si>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</si>
  <si>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</si>
  <si>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</si>
  <si>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</si>
  <si>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</si>
  <si>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</si>
  <si>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</si>
  <si>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</si>
  <si>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</si>
  <si>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</si>
  <si>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</si>
  <si>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</si>
  <si>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</si>
  <si>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</si>
  <si>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</si>
  <si>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</si>
  <si>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</si>
  <si>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</si>
  <si>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</si>
  <si>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</si>
  <si>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</si>
  <si>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</si>
  <si>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</si>
  <si>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</si>
  <si>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</si>
  <si>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</si>
  <si>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</si>
  <si>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</si>
  <si>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</si>
  <si>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</si>
  <si>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</si>
  <si>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</si>
  <si>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</si>
  <si>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</si>
  <si>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</si>
  <si>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</si>
  <si>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</si>
  <si>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</si>
  <si>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</si>
  <si>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</si>
  <si>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</si>
  <si>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</si>
  <si>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</si>
  <si>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</si>
  <si>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</si>
  <si>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</si>
  <si>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</si>
  <si>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</si>
  <si>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</si>
  <si>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</si>
  <si>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</si>
  <si>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</si>
  <si>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</si>
  <si>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</si>
  <si>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</si>
  <si>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</si>
  <si>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</si>
  <si>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</si>
  <si>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</si>
  <si>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</si>
  <si>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</si>
  <si>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</si>
  <si>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</si>
  <si>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</si>
  <si>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</si>
  <si>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</si>
  <si>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</si>
  <si>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</si>
  <si>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</si>
  <si>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</si>
  <si>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</si>
  <si>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</si>
  <si>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</si>
  <si>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</si>
  <si>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</si>
  <si>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</si>
  <si>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</si>
  <si>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</si>
  <si>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</si>
  <si>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</si>
  <si>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</si>
  <si>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</si>
  <si>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</si>
  <si>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</si>
  <si>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</si>
  <si>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</si>
  <si>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</si>
  <si>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</si>
  <si>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</si>
  <si>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</si>
  <si>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</si>
  <si>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</si>
  <si>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</si>
  <si>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</si>
  <si>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</si>
  <si>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</si>
  <si>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</si>
  <si>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</si>
  <si>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</si>
  <si>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</si>
  <si>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</si>
  <si>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</si>
  <si>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</si>
  <si>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</si>
  <si>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</si>
  <si>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</si>
  <si>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</si>
  <si>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</si>
  <si>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</si>
  <si>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</si>
  <si>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</si>
  <si>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</si>
  <si>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</si>
  <si>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</si>
  <si>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</si>
  <si>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</si>
  <si>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</si>
  <si>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</si>
  <si>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</si>
  <si>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</si>
  <si>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</si>
  <si>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</si>
  <si>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</si>
  <si>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</si>
  <si>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</si>
  <si>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</si>
  <si>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</si>
  <si>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</si>
  <si>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</si>
  <si>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</si>
  <si>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</si>
  <si>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</si>
  <si>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</si>
  <si>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</si>
  <si>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</si>
  <si>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</si>
  <si>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</si>
  <si>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</si>
  <si>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</si>
  <si>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</si>
  <si>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</si>
  <si>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</si>
  <si>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</si>
  <si>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</si>
  <si>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</si>
  <si>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</si>
  <si>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</si>
  <si>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</si>
  <si>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</si>
  <si>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</si>
  <si>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</si>
  <si>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</si>
  <si>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</si>
  <si>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</si>
  <si>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</si>
  <si>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</si>
  <si>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</si>
  <si>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</si>
  <si>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</si>
  <si>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</si>
  <si>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</si>
  <si>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</si>
  <si>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</si>
  <si>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</si>
  <si>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</si>
  <si>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</si>
  <si>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</si>
  <si>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</si>
  <si>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</si>
  <si>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</si>
  <si>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</si>
  <si>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</si>
  <si>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</si>
  <si>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</si>
  <si>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</si>
  <si>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</si>
  <si>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</si>
  <si>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</si>
  <si>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</si>
  <si>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</si>
  <si>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</si>
  <si>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</si>
  <si>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</si>
  <si>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</si>
  <si>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</si>
  <si>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</si>
  <si>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</si>
  <si>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</si>
  <si>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</si>
  <si>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</si>
  <si>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</si>
  <si>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</si>
  <si>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</si>
  <si>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</si>
  <si>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</si>
  <si>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</si>
  <si>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</si>
  <si>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</si>
  <si>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</si>
  <si>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</si>
  <si>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</si>
  <si>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</si>
  <si>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</si>
  <si>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</si>
  <si>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</si>
  <si>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</si>
  <si>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</si>
  <si>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</si>
  <si>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</si>
  <si>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</si>
  <si>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</si>
  <si>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</si>
  <si>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</si>
  <si>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</si>
  <si>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</si>
  <si>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</si>
  <si>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</si>
  <si>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</si>
  <si>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</si>
  <si>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</si>
  <si>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</si>
  <si>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</si>
  <si>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</si>
  <si>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</si>
  <si>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</si>
  <si>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</si>
  <si>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</si>
  <si>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</si>
  <si>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</si>
  <si>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</si>
  <si>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</si>
  <si>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</si>
  <si>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</si>
  <si>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</si>
  <si>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</si>
  <si>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</si>
  <si>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</si>
  <si>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</si>
  <si>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</si>
  <si>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</si>
  <si>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</si>
  <si>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</si>
  <si>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</si>
  <si>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</si>
  <si>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</si>
  <si>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</si>
  <si>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</si>
  <si>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</si>
  <si>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</si>
  <si>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</si>
  <si>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</si>
  <si>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</si>
  <si>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</si>
  <si>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</si>
  <si>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</si>
  <si>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</si>
  <si>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</si>
  <si>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</si>
  <si>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</si>
  <si>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</si>
  <si>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</si>
  <si>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</si>
  <si>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</si>
  <si>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</si>
  <si>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</si>
  <si>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</si>
  <si>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</si>
  <si>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</si>
  <si>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</si>
  <si>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</si>
  <si>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</si>
  <si>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</si>
  <si>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</si>
  <si>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</si>
  <si>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</si>
  <si>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</si>
  <si>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</si>
  <si>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</si>
  <si>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</si>
  <si>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</si>
  <si>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</si>
  <si>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</si>
  <si>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</si>
  <si>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</si>
  <si>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</si>
  <si>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</si>
  <si>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</si>
  <si>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</si>
  <si>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</si>
  <si>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</si>
  <si>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</si>
  <si>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</si>
  <si>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</si>
  <si>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</si>
  <si>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</si>
  <si>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</si>
  <si>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</si>
  <si>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</si>
  <si>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</si>
  <si>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</si>
  <si>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</si>
  <si>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</si>
  <si>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</si>
  <si>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</si>
  <si>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</si>
  <si>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</si>
  <si>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</si>
  <si>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</si>
  <si>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</si>
  <si>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</si>
  <si>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</si>
  <si>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</si>
  <si>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</si>
  <si>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</si>
  <si>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</si>
  <si>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</si>
  <si>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</si>
  <si>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</si>
  <si>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</si>
  <si>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</si>
  <si>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</si>
  <si>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</si>
  <si>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</si>
  <si>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</si>
  <si>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</si>
  <si>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</si>
  <si>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</si>
  <si>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</si>
  <si>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</si>
  <si>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</si>
  <si>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</si>
  <si>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</si>
  <si>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</si>
  <si>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</si>
  <si>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</si>
  <si>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</si>
  <si>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</si>
  <si>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</si>
  <si>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</si>
  <si>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</si>
  <si>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</si>
  <si>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</si>
  <si>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</si>
  <si>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</si>
  <si>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</si>
  <si>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</si>
  <si>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</si>
  <si>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</si>
  <si>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</si>
  <si>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</si>
  <si>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</si>
  <si>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</si>
  <si>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</si>
  <si>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</si>
  <si>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</si>
  <si>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</si>
  <si>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</si>
  <si>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</si>
  <si>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</si>
  <si>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</si>
  <si>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</si>
  <si>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</si>
  <si>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</si>
  <si>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</si>
  <si>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</si>
  <si>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</si>
  <si>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</si>
  <si>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</si>
  <si>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</si>
  <si>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</si>
  <si>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</si>
  <si>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</si>
  <si>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</si>
  <si>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</si>
  <si>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</si>
  <si>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</si>
  <si>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</si>
  <si>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</si>
  <si>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</si>
  <si>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</si>
  <si>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</si>
  <si>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</si>
  <si>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</si>
  <si>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</si>
  <si>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</si>
  <si>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</si>
  <si>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</si>
  <si>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</si>
  <si>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</si>
  <si>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</si>
  <si>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</si>
  <si>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</si>
  <si>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</si>
  <si>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</si>
  <si>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</si>
  <si>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</si>
  <si>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</si>
  <si>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</si>
  <si>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</si>
  <si>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</si>
  <si>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</si>
  <si>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</si>
  <si>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</si>
  <si>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</si>
  <si>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</si>
  <si>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</si>
  <si>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</si>
  <si>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</si>
  <si>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</si>
  <si>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</si>
  <si>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</si>
  <si>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</si>
  <si>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</si>
  <si>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</si>
  <si>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</si>
  <si>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</si>
  <si>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</si>
  <si>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</si>
  <si>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</si>
  <si>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</si>
  <si>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</si>
  <si>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</si>
  <si>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</si>
  <si>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</si>
  <si>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</si>
  <si>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</si>
  <si>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</si>
  <si>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</si>
  <si>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</si>
  <si>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</si>
  <si>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</si>
  <si>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</si>
  <si>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</si>
  <si>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</si>
  <si>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</si>
  <si>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</si>
  <si>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</si>
  <si>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</si>
  <si>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</si>
  <si>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</si>
  <si>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</si>
  <si>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</si>
  <si>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</si>
  <si>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</si>
  <si>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</si>
  <si>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</si>
  <si>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</si>
  <si>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</si>
  <si>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</si>
  <si>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</si>
  <si>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</si>
  <si>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</si>
  <si>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</si>
  <si>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</si>
  <si>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</si>
  <si>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</si>
  <si>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</si>
  <si>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</si>
  <si>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</si>
  <si>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</si>
  <si>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</si>
  <si>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</si>
  <si>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</si>
  <si>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</si>
  <si>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</si>
  <si>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</si>
  <si>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</si>
  <si>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</si>
  <si>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</si>
  <si>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</si>
  <si>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</si>
  <si>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</si>
  <si>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</si>
  <si>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</si>
  <si>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</si>
  <si>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</si>
  <si>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</si>
  <si>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</si>
  <si>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</si>
  <si>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</si>
  <si>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</si>
  <si>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</si>
  <si>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</si>
  <si>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</si>
  <si>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</si>
  <si>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</si>
  <si>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</si>
  <si>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</si>
  <si>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</si>
  <si>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</si>
  <si>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</si>
  <si>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</si>
  <si>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</si>
  <si>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</si>
  <si>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</si>
  <si>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</si>
  <si>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</si>
  <si>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</si>
  <si>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</si>
  <si>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</si>
  <si>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</si>
  <si>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</si>
  <si>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</si>
  <si>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</si>
  <si>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</si>
  <si>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</si>
  <si>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</si>
  <si>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</si>
  <si>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</si>
  <si>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</si>
  <si>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</si>
  <si>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</si>
  <si>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</si>
  <si>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</si>
  <si>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</si>
  <si>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</si>
  <si>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</si>
  <si>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</si>
  <si>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</si>
  <si>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</si>
  <si>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</si>
  <si>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</si>
  <si>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</si>
  <si>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</si>
  <si>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</si>
  <si>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</si>
  <si>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</si>
  <si>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</si>
  <si>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</si>
  <si>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</si>
  <si>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</si>
  <si>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</si>
  <si>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</si>
  <si>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</si>
  <si>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</si>
  <si>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</si>
  <si>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</si>
  <si>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</si>
  <si>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</si>
  <si>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</si>
  <si>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</si>
  <si>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</si>
  <si>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</si>
  <si>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</si>
  <si>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</si>
  <si>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</si>
  <si>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</si>
  <si>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</si>
  <si>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</si>
  <si>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</si>
  <si>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</si>
  <si>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</si>
  <si>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</si>
  <si>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</si>
  <si>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</si>
  <si>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</si>
  <si>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</si>
  <si>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</si>
  <si>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</si>
  <si>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</si>
  <si>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</si>
  <si>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</si>
  <si>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</si>
  <si>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</si>
  <si>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</si>
  <si>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</si>
  <si>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</si>
  <si>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</si>
  <si>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</si>
  <si>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</si>
  <si>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</si>
  <si>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</si>
  <si>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</si>
  <si>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</si>
  <si>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</si>
  <si>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</si>
  <si>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</si>
  <si>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</si>
  <si>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</si>
  <si>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</si>
  <si>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</si>
  <si>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</si>
  <si>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</si>
  <si>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</si>
  <si>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</si>
  <si>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</si>
  <si>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</si>
  <si>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</si>
  <si>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</si>
  <si>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</si>
  <si>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</si>
  <si>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</si>
  <si>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</si>
  <si>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</si>
  <si>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</si>
  <si>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</si>
  <si>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</si>
  <si>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</si>
  <si>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</si>
  <si>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</si>
  <si>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</si>
  <si>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</si>
  <si>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</si>
  <si>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</si>
  <si>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</si>
  <si>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</si>
  <si>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</si>
  <si>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</si>
  <si>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</si>
  <si>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</si>
  <si>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</si>
  <si>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</si>
  <si>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</si>
  <si>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</si>
  <si>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</si>
  <si>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</si>
  <si>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</si>
  <si>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</si>
  <si>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</si>
  <si>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</si>
  <si>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</si>
  <si>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</si>
  <si>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</si>
  <si>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</si>
  <si>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</si>
  <si>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</si>
  <si>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</si>
  <si>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</si>
  <si>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</si>
  <si>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</si>
  <si>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</si>
  <si>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</si>
  <si>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</si>
  <si>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</si>
  <si>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</si>
  <si>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</si>
  <si>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</si>
  <si>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</si>
  <si>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</si>
  <si>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</si>
  <si>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</si>
  <si>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</si>
  <si>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</si>
  <si>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</si>
  <si>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</si>
  <si>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</si>
  <si>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</si>
  <si>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</si>
  <si>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</si>
  <si>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</si>
  <si>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</si>
  <si>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</si>
  <si>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</si>
  <si>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</si>
  <si>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</si>
  <si>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</si>
  <si>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</si>
  <si>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</si>
  <si>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</si>
  <si>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</si>
  <si>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</si>
  <si>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</si>
  <si>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</si>
  <si>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</si>
  <si>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</si>
  <si>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</si>
  <si>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</si>
  <si>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</si>
  <si>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</si>
  <si>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</si>
  <si>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</si>
  <si>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</si>
  <si>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</si>
  <si>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</si>
  <si>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</si>
  <si>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</si>
  <si>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</si>
  <si>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</si>
  <si>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</si>
  <si>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</si>
  <si>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</si>
  <si>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</si>
  <si>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</si>
  <si>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</si>
  <si>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</si>
  <si>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</si>
  <si>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</si>
  <si>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</si>
  <si>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</si>
  <si>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</si>
  <si>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</si>
  <si>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</si>
  <si>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</si>
  <si>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</si>
  <si>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</si>
  <si>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</si>
  <si>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</si>
  <si>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</si>
  <si>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</si>
  <si>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</si>
  <si>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</si>
  <si>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</si>
  <si>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</si>
  <si>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</si>
  <si>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</si>
  <si>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</si>
  <si>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</si>
  <si>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</si>
  <si>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</si>
  <si>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</si>
  <si>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</si>
  <si>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</si>
  <si>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</si>
  <si>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</si>
  <si>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</si>
  <si>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</si>
  <si>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</si>
  <si>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</si>
  <si>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</si>
  <si>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</si>
  <si>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</si>
  <si>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</si>
  <si>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</si>
  <si>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</si>
  <si>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</si>
  <si>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</si>
  <si>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</si>
  <si>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</si>
  <si>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</si>
  <si>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</si>
  <si>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</si>
  <si>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</si>
  <si>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</si>
  <si>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</si>
  <si>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</si>
  <si>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</si>
  <si>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</si>
  <si>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</si>
  <si>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</si>
  <si>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</si>
  <si>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</si>
  <si>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</si>
  <si>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</si>
  <si>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</si>
  <si>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</si>
  <si>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</si>
  <si>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</si>
  <si>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</si>
  <si>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</si>
  <si>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</si>
  <si>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</si>
  <si>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</si>
  <si>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</si>
  <si>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</si>
  <si>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</si>
  <si>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</si>
  <si>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</si>
  <si>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</si>
  <si>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</si>
  <si>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</si>
  <si>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</si>
  <si>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</si>
  <si>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</si>
  <si>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</si>
  <si>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</si>
  <si>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</si>
  <si>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</si>
  <si>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</si>
  <si>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</si>
  <si>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</si>
  <si>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</si>
  <si>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</si>
  <si>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</si>
  <si>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</si>
  <si>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</si>
  <si>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</si>
  <si>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</si>
  <si>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</si>
  <si>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</si>
  <si>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</si>
  <si>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</si>
  <si>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</si>
  <si>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</si>
  <si>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</si>
  <si>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</si>
  <si>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</si>
  <si>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</si>
  <si>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</si>
  <si>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</si>
  <si>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</si>
  <si>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</si>
  <si>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</si>
  <si>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</si>
  <si>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</si>
  <si>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</si>
  <si>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</si>
  <si>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</si>
  <si>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</si>
  <si>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</si>
  <si>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</si>
  <si>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</si>
  <si>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</si>
  <si>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</si>
  <si>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</si>
  <si>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</si>
  <si>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</si>
  <si>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</si>
  <si>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</si>
  <si>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</si>
  <si>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</si>
  <si>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</si>
  <si>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</si>
  <si>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</si>
  <si>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</si>
  <si>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</si>
  <si>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</si>
  <si>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</si>
  <si>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</si>
  <si>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</si>
  <si>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</si>
  <si>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</si>
  <si>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</si>
  <si>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</si>
  <si>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</si>
  <si>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</si>
  <si>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</si>
  <si>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</si>
  <si>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</si>
  <si>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</si>
  <si>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</si>
  <si>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</si>
  <si>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</si>
  <si>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</si>
  <si>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</si>
  <si>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</si>
  <si>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</si>
  <si>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</si>
  <si>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</si>
  <si>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</si>
  <si>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</si>
  <si>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</si>
  <si>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</si>
  <si>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</si>
  <si>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</si>
  <si>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</si>
  <si>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</si>
  <si>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</si>
  <si>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</si>
  <si>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</si>
  <si>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</si>
  <si>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</si>
  <si>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</si>
  <si>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</si>
  <si>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</si>
  <si>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</si>
  <si>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</si>
  <si>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</si>
  <si>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</si>
  <si>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</si>
  <si>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</si>
  <si>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</si>
  <si>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</si>
  <si>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</si>
  <si>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</si>
  <si>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</si>
  <si>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</si>
  <si>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</si>
  <si>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</si>
  <si>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</si>
  <si>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</si>
  <si>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</si>
  <si>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</si>
  <si>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</si>
  <si>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</si>
  <si>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</si>
  <si>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</si>
  <si>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</si>
  <si>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</si>
  <si>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</si>
  <si>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</si>
  <si>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</si>
  <si>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</si>
  <si>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</si>
  <si>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</si>
  <si>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</si>
  <si>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</si>
  <si>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</si>
  <si>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</si>
  <si>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</si>
  <si>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</si>
  <si>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</si>
  <si>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</si>
  <si>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</si>
  <si>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</si>
  <si>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</si>
  <si>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</si>
  <si>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</si>
  <si>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</si>
  <si>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</si>
  <si>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</si>
  <si>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</si>
  <si>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</si>
  <si>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</si>
  <si>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</si>
  <si>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</si>
  <si>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</si>
  <si>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</si>
  <si>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</si>
  <si>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</si>
  <si>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</si>
  <si>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</si>
  <si>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</si>
  <si>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</si>
  <si>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</si>
  <si>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</si>
  <si>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</si>
  <si>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</si>
  <si>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</si>
  <si>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</si>
  <si>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</si>
  <si>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</si>
  <si>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</si>
  <si>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</si>
  <si>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</si>
  <si>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</si>
  <si>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</si>
  <si>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</si>
  <si>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</si>
  <si>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</si>
  <si>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</si>
  <si>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</si>
  <si>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</si>
  <si>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</si>
  <si>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</si>
  <si>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</si>
  <si>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</si>
  <si>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</si>
  <si>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</si>
  <si>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</si>
  <si>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</si>
  <si>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</si>
  <si>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</si>
  <si>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</si>
  <si>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</si>
  <si>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</si>
  <si>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</si>
  <si>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</si>
  <si>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</si>
  <si>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</si>
  <si>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</si>
  <si>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</si>
  <si>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</si>
  <si>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</si>
  <si>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</si>
  <si>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</si>
  <si>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</si>
  <si>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</si>
  <si>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</si>
  <si>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</si>
  <si>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</si>
  <si>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</si>
  <si>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</si>
  <si>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</si>
  <si>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</si>
  <si>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</si>
  <si>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</si>
  <si>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</si>
  <si>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</si>
  <si>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</si>
  <si>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</si>
  <si>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</si>
  <si>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</si>
  <si>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</si>
  <si>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</si>
  <si>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</si>
  <si>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</si>
  <si>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</si>
  <si>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</si>
  <si>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</si>
  <si>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</si>
  <si>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</si>
  <si>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</si>
  <si>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</si>
  <si>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</si>
  <si>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</si>
  <si>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</si>
  <si>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</si>
  <si>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</si>
  <si>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</si>
  <si>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</si>
  <si>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</si>
  <si>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</si>
  <si>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</si>
  <si>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</si>
  <si>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</si>
  <si>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</si>
  <si>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</si>
  <si>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</si>
  <si>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</si>
  <si>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</si>
  <si>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</si>
  <si>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</si>
  <si>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</si>
  <si>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</si>
  <si>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</si>
  <si>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</si>
  <si>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</si>
  <si>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</si>
  <si>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</si>
  <si>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</si>
  <si>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</si>
  <si>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</si>
  <si>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</si>
  <si>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</si>
  <si>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</si>
  <si>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</si>
  <si>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</si>
  <si>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</si>
  <si>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</si>
  <si>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</si>
  <si>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</si>
  <si>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</si>
  <si>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</si>
  <si>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</si>
  <si>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</si>
  <si>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</si>
  <si>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</si>
  <si>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</si>
  <si>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</si>
  <si>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</si>
  <si>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</si>
  <si>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</si>
  <si>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</si>
  <si>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</si>
  <si>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</si>
  <si>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</si>
  <si>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</si>
  <si>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</si>
  <si>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</si>
  <si>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</si>
  <si>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</si>
  <si>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</si>
  <si>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</si>
  <si>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</si>
  <si>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</si>
  <si>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</si>
  <si>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</si>
  <si>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</si>
  <si>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</si>
  <si>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</si>
  <si>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</si>
  <si>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</si>
  <si>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</si>
  <si>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</si>
  <si>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</si>
  <si>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</si>
  <si>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</si>
  <si>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</si>
  <si>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</si>
  <si>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</si>
  <si>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</si>
  <si>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</si>
  <si>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</si>
  <si>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</si>
  <si>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</si>
  <si>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</si>
  <si>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</si>
  <si>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</si>
  <si>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</si>
  <si>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</si>
  <si>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</si>
  <si>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</si>
  <si>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</si>
  <si>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</si>
  <si>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</si>
  <si>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</si>
  <si>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</si>
  <si>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</si>
  <si>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</si>
  <si>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</si>
  <si>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</si>
  <si>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</si>
  <si>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</si>
  <si>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</si>
  <si>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</si>
  <si>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</si>
  <si>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</si>
  <si>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</si>
  <si>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</si>
  <si>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</si>
  <si>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</si>
  <si>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</si>
  <si>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</si>
  <si>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</si>
  <si>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</si>
  <si>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</si>
  <si>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</si>
  <si>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</si>
  <si>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</si>
  <si>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</si>
  <si>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</si>
  <si>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</si>
  <si>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</si>
  <si>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</si>
  <si>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</si>
  <si>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</si>
  <si>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</si>
  <si>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</si>
  <si>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</si>
  <si>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</si>
  <si>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</si>
  <si>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</si>
  <si>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</si>
  <si>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</si>
  <si>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</si>
  <si>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</si>
  <si>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</si>
  <si>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</si>
  <si>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</si>
  <si>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</si>
  <si>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</si>
  <si>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</si>
  <si>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</si>
  <si>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</si>
  <si>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</si>
  <si>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</si>
  <si>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</si>
  <si>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</si>
  <si>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</si>
  <si>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</si>
  <si>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</si>
  <si>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</si>
  <si>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</si>
  <si>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</si>
  <si>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</si>
  <si>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</si>
  <si>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</si>
  <si>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</si>
  <si>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</si>
  <si>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</si>
  <si>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</si>
  <si>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</si>
  <si>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</si>
  <si>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</si>
  <si>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</si>
  <si>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</si>
  <si>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</si>
  <si>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</si>
  <si>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</si>
  <si>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</si>
  <si>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</si>
  <si>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</si>
  <si>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</si>
  <si>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</si>
  <si>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</si>
  <si>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</si>
  <si>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</si>
  <si>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</si>
  <si>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</si>
  <si>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</si>
  <si>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</si>
  <si>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</si>
  <si>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</si>
  <si>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</si>
  <si>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</si>
  <si>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</si>
  <si>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</si>
  <si>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</si>
  <si>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</si>
  <si>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</si>
  <si>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</si>
  <si>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</si>
  <si>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</si>
  <si>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</si>
  <si>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</si>
  <si>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</si>
  <si>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</si>
  <si>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</si>
  <si>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</si>
  <si>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</si>
  <si>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</si>
  <si>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</si>
  <si>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</si>
  <si>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</si>
  <si>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</si>
  <si>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</si>
  <si>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</si>
  <si>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</si>
  <si>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</si>
  <si>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</si>
  <si>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</si>
  <si>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</si>
  <si>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</si>
  <si>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</si>
  <si>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</si>
  <si>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</si>
  <si>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</si>
  <si>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</si>
  <si>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</si>
  <si>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</si>
  <si>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</si>
  <si>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</si>
  <si>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</si>
  <si>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</si>
  <si>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</si>
  <si>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</si>
  <si>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</si>
  <si>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</si>
  <si>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</si>
  <si>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</si>
  <si>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</si>
  <si>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</si>
  <si>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</si>
  <si>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</si>
  <si>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</si>
  <si>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</si>
  <si>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</si>
  <si>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</si>
  <si>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</si>
  <si>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</si>
  <si>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</si>
  <si>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</si>
  <si>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</si>
  <si>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</si>
  <si>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</si>
  <si>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</si>
  <si>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</si>
  <si>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</si>
  <si>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</si>
  <si>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</si>
  <si>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</si>
  <si>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</si>
  <si>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</si>
  <si>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</si>
  <si>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</si>
  <si>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</si>
  <si>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</si>
  <si>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</si>
  <si>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</si>
  <si>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</si>
  <si>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</si>
  <si>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</si>
  <si>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</si>
  <si>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</si>
  <si>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</si>
  <si>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</si>
  <si>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</si>
  <si>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</si>
  <si>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</si>
  <si>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</si>
  <si>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</si>
  <si>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</si>
  <si>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</si>
  <si>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</si>
  <si>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</si>
  <si>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</si>
  <si>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</si>
  <si>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</si>
  <si>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</si>
  <si>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</si>
  <si>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</si>
  <si>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</si>
  <si>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</si>
  <si>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</si>
  <si>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</si>
  <si>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</si>
  <si>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</si>
  <si>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</si>
  <si>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</si>
  <si>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</si>
  <si>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</si>
  <si>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</si>
  <si>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</si>
  <si>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</si>
  <si>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</si>
  <si>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</si>
  <si>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</si>
  <si>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</si>
  <si>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</si>
  <si>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</si>
  <si>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</si>
  <si>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</si>
  <si>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</si>
  <si>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</si>
  <si>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</si>
  <si>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</si>
  <si>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</si>
  <si>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</si>
  <si>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</si>
  <si>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</si>
  <si>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</si>
  <si>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</si>
  <si>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</si>
  <si>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</si>
  <si>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</si>
  <si>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</si>
  <si>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</si>
  <si>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</si>
  <si>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</si>
  <si>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</si>
  <si>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</si>
  <si>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</si>
  <si>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</si>
  <si>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</si>
  <si>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</si>
  <si>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</si>
  <si>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</si>
  <si>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</si>
  <si>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</si>
  <si>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</si>
  <si>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</si>
  <si>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</si>
  <si>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</si>
  <si>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</si>
  <si>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</si>
  <si>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</si>
  <si>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</si>
  <si>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</si>
  <si>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</si>
  <si>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</si>
  <si>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</si>
  <si>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</si>
  <si>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</si>
  <si>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</si>
  <si>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</si>
  <si>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</si>
  <si>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</si>
  <si>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</si>
  <si>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</si>
  <si>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</si>
  <si>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</si>
  <si>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</si>
  <si>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</si>
  <si>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</si>
  <si>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</si>
  <si>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</si>
  <si>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</si>
  <si>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</si>
  <si>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</si>
  <si>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</si>
  <si>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</si>
  <si>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</si>
  <si>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</si>
  <si>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</si>
  <si>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</si>
  <si>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</si>
  <si>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</si>
  <si>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</si>
  <si>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</si>
  <si>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</si>
  <si>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</si>
  <si>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</si>
  <si>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</si>
  <si>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</si>
  <si>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</si>
  <si>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</si>
  <si>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</si>
  <si>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</si>
  <si>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</si>
  <si>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</si>
  <si>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</si>
  <si>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</si>
  <si>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</si>
  <si>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</si>
  <si>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</si>
  <si>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</si>
  <si>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</si>
  <si>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</si>
  <si>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</si>
  <si>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</si>
  <si>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</si>
  <si>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</si>
  <si>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</si>
  <si>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</si>
  <si>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</si>
  <si>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</si>
  <si>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</si>
  <si>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</si>
  <si>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</si>
  <si>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</si>
  <si>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</si>
  <si>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</si>
  <si>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</si>
  <si>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</si>
  <si>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</si>
  <si>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</si>
  <si>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</si>
  <si>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</si>
  <si>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</si>
  <si>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</si>
  <si>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</si>
  <si>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</si>
  <si>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</si>
  <si>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</si>
  <si>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</si>
  <si>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</si>
  <si>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</si>
  <si>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</si>
  <si>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</si>
  <si>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</si>
  <si>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</si>
  <si>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</si>
  <si>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</si>
  <si>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</si>
  <si>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</si>
  <si>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</si>
  <si>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</si>
  <si>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</si>
  <si>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</si>
  <si>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</si>
  <si>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</si>
  <si>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</si>
  <si>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</si>
  <si>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</si>
  <si>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</si>
  <si>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</si>
  <si>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</si>
  <si>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</si>
  <si>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</si>
  <si>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</si>
  <si>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</si>
  <si>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</si>
  <si>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</si>
  <si>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</si>
  <si>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</si>
  <si>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</si>
  <si>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</si>
  <si>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</si>
  <si>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</si>
  <si>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</si>
  <si>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</si>
  <si>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</si>
  <si>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</si>
  <si>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</si>
  <si>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</si>
  <si>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</si>
  <si>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</si>
  <si>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</si>
  <si>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</si>
  <si>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</si>
  <si>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</si>
  <si>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</si>
  <si>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</si>
  <si>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</si>
  <si>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</si>
  <si>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</si>
  <si>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</si>
  <si>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</si>
  <si>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</si>
  <si>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</si>
  <si>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</si>
  <si>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</si>
  <si>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</si>
  <si>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</si>
  <si>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</si>
  <si>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</si>
  <si>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</si>
  <si>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</si>
  <si>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</si>
  <si>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</si>
  <si>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</si>
  <si>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</si>
  <si>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</si>
  <si>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</si>
  <si>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</si>
  <si>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</si>
  <si>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</si>
  <si>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</si>
  <si>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</si>
  <si>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</si>
  <si>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</si>
  <si>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</si>
  <si>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</si>
  <si>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</si>
  <si>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</si>
  <si>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</si>
  <si>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</si>
  <si>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</si>
  <si>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</si>
  <si>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</si>
  <si>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</si>
  <si>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</si>
  <si>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</si>
  <si>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</si>
  <si>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</si>
  <si>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</si>
  <si>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</si>
  <si>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</si>
  <si>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</si>
  <si>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</si>
  <si>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</si>
  <si>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</si>
  <si>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</si>
  <si>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</si>
  <si>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</si>
  <si>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</si>
  <si>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</si>
  <si>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</si>
  <si>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</si>
  <si>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</si>
  <si>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</si>
  <si>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</si>
  <si>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</si>
  <si>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</si>
  <si>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</si>
  <si>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</si>
  <si>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</si>
  <si>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</si>
  <si>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</si>
  <si>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</si>
  <si>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</si>
  <si>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</si>
  <si>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</si>
  <si>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</si>
  <si>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</si>
  <si>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</si>
  <si>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</si>
  <si>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</si>
  <si>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</si>
  <si>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</si>
  <si>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</si>
  <si>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</si>
  <si>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</si>
  <si>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</si>
  <si>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</si>
  <si>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</si>
  <si>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</si>
  <si>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</si>
  <si>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</si>
  <si>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</si>
  <si>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</si>
  <si>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</si>
  <si>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</si>
  <si>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</si>
  <si>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</si>
  <si>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</si>
  <si>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</si>
  <si>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</si>
  <si>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</si>
  <si>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</si>
  <si>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</si>
  <si>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</si>
  <si>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</si>
  <si>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</si>
  <si>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</si>
  <si>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</si>
  <si>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</si>
  <si>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</si>
  <si>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</si>
  <si>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</si>
  <si>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</si>
  <si>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</si>
  <si>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</si>
  <si>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</si>
  <si>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</si>
  <si>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</si>
  <si>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</si>
  <si>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</si>
  <si>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</si>
  <si>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</si>
  <si>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</si>
  <si>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</si>
  <si>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</si>
  <si>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</si>
  <si>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</si>
  <si>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</si>
  <si>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</si>
  <si>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</si>
  <si>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</si>
  <si>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</si>
  <si>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</si>
  <si>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</si>
  <si>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</si>
  <si>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</si>
  <si>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</si>
  <si>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</si>
  <si>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</si>
  <si>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</si>
  <si>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</si>
  <si>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</si>
  <si>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</si>
  <si>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</si>
  <si>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</si>
  <si>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</si>
  <si>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</si>
  <si>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</si>
  <si>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</si>
  <si>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</si>
  <si>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</si>
  <si>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</si>
  <si>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</si>
  <si>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</si>
  <si>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</si>
  <si>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</si>
  <si>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</si>
  <si>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</si>
  <si>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</si>
  <si>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</si>
  <si>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</si>
  <si>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</si>
  <si>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</si>
  <si>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</si>
  <si>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</si>
  <si>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</si>
  <si>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</si>
  <si>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</si>
  <si>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</si>
  <si>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</si>
  <si>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</si>
  <si>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</si>
  <si>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</si>
  <si>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</si>
  <si>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</si>
  <si>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</si>
  <si>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</si>
  <si>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</si>
  <si>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</si>
  <si>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</si>
  <si>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</si>
  <si>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</si>
  <si>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</si>
  <si>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</si>
  <si>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</si>
  <si>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</si>
  <si>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</si>
  <si>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</si>
  <si>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</si>
  <si>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</si>
  <si>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</si>
  <si>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</si>
  <si>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</si>
  <si>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</si>
  <si>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</si>
  <si>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</si>
  <si>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</si>
  <si>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</si>
  <si>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</si>
  <si>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</si>
  <si>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</si>
  <si>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</si>
  <si>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</si>
  <si>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</si>
  <si>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</si>
  <si>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</si>
  <si>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</si>
  <si>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</si>
  <si>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</si>
  <si>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</si>
  <si>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</si>
  <si>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</si>
  <si>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</si>
  <si>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</si>
  <si>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</si>
  <si>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</si>
  <si>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</si>
  <si>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</si>
  <si>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</si>
  <si>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</si>
  <si>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</si>
  <si>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</si>
  <si>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</si>
  <si>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</si>
  <si>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</si>
  <si>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</si>
  <si>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</si>
  <si>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</si>
  <si>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</si>
  <si>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</si>
  <si>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</si>
  <si>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</si>
  <si>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</si>
  <si>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</si>
  <si>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</si>
  <si>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</si>
  <si>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</si>
  <si>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</si>
  <si>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</si>
  <si>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</si>
  <si>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</si>
  <si>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</si>
  <si>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</si>
  <si>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</si>
  <si>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</si>
  <si>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</si>
  <si>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</si>
  <si>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</si>
  <si>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</si>
  <si>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</si>
  <si>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</si>
  <si>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</si>
  <si>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</si>
  <si>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</si>
  <si>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</si>
  <si>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</si>
  <si>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</si>
  <si>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</si>
  <si>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</si>
  <si>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</si>
  <si>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</si>
  <si>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</si>
  <si>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</si>
  <si>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</si>
  <si>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</si>
  <si>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</si>
  <si>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</si>
  <si>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</si>
  <si>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</si>
  <si>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</si>
  <si>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</si>
  <si>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</si>
  <si>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</si>
  <si>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</si>
  <si>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</si>
  <si>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</si>
  <si>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</si>
  <si>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</si>
  <si>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</si>
  <si>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</si>
  <si>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</si>
  <si>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</si>
  <si>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</si>
  <si>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</si>
  <si>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</si>
  <si>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</si>
  <si>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</si>
  <si>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</si>
  <si>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</si>
  <si>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</si>
  <si>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</si>
  <si>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</si>
  <si>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</si>
  <si>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</si>
  <si>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</si>
  <si>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</si>
  <si>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</si>
  <si>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</si>
  <si>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</si>
  <si>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</si>
  <si>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</si>
  <si>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</si>
  <si>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</si>
  <si>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</si>
  <si>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</si>
  <si>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</si>
  <si>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</si>
  <si>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</si>
  <si>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</si>
  <si>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</si>
  <si>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</si>
  <si>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</si>
  <si>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</si>
  <si>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</si>
  <si>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</si>
  <si>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</si>
  <si>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</si>
  <si>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</si>
  <si>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</si>
  <si>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</si>
  <si>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</si>
  <si>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</si>
  <si>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</si>
  <si>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</si>
  <si>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</si>
  <si>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</si>
  <si>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</si>
  <si>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</si>
  <si>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</si>
  <si>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</si>
  <si>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</si>
  <si>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</si>
  <si>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</si>
  <si>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</si>
  <si>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</si>
  <si>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</si>
  <si>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</si>
  <si>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</si>
  <si>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</si>
  <si>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</si>
  <si>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</si>
  <si>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</si>
  <si>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</si>
  <si>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</si>
  <si>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</si>
  <si>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</si>
  <si>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</si>
  <si>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</si>
  <si>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</si>
  <si>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</si>
  <si>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</si>
  <si>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</si>
  <si>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</si>
  <si>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</si>
  <si>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</si>
  <si>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</si>
  <si>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</si>
  <si>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</si>
  <si>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</si>
  <si>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</si>
  <si>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</si>
  <si>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</si>
  <si>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</si>
  <si>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</si>
  <si>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</si>
  <si>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</si>
  <si>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</si>
  <si>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</si>
  <si>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</si>
  <si>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</si>
  <si>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</si>
  <si>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</si>
  <si>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</si>
  <si>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</si>
  <si>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</si>
  <si>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</si>
  <si>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</si>
  <si>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</si>
  <si>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</si>
  <si>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</si>
  <si>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</si>
  <si>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</si>
  <si>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</si>
  <si>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</si>
  <si>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</si>
  <si>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</si>
  <si>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</si>
  <si>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</si>
  <si>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</si>
  <si>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</si>
  <si>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</si>
  <si>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</si>
  <si>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</si>
  <si>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</si>
  <si>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</si>
  <si>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</si>
  <si>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</si>
  <si>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</si>
  <si>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</si>
  <si>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</si>
  <si>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</si>
  <si>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</si>
  <si>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</si>
  <si>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</si>
  <si>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</si>
  <si>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</si>
  <si>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</si>
  <si>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</si>
  <si>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</si>
  <si>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</si>
  <si>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</si>
  <si>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</si>
  <si>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</si>
  <si>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</si>
  <si>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</si>
  <si>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</si>
  <si>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</si>
  <si>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</si>
  <si>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</si>
  <si>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</si>
  <si>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</si>
  <si>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</si>
  <si>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</si>
  <si>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</si>
  <si>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</si>
  <si>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</si>
  <si>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</si>
  <si>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</si>
  <si>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</si>
  <si>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</si>
  <si>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</si>
  <si>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</si>
  <si>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</si>
  <si>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</si>
  <si>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</si>
  <si>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</si>
  <si>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</si>
  <si>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</si>
  <si>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</si>
  <si>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</si>
  <si>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</si>
  <si>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</si>
  <si>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</si>
  <si>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</si>
  <si>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</si>
  <si>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</si>
  <si>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</si>
  <si>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</si>
  <si>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</si>
  <si>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</si>
  <si>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</si>
  <si>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</si>
  <si>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</si>
  <si>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</si>
  <si>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</si>
  <si>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</si>
  <si>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</si>
  <si>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</si>
  <si>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</si>
  <si>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</si>
  <si>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</si>
  <si>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</si>
  <si>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</si>
  <si>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</si>
  <si>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</si>
  <si>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</si>
  <si>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</si>
  <si>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</si>
  <si>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</si>
  <si>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</si>
  <si>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</si>
  <si>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</si>
  <si>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</si>
  <si>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</si>
  <si>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</si>
  <si>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</si>
  <si>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</si>
  <si>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</si>
  <si>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</si>
  <si>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</si>
  <si>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</si>
  <si>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</si>
  <si>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</si>
  <si>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</si>
  <si>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</si>
  <si>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</si>
  <si>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</si>
  <si>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</si>
  <si>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</si>
  <si>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</si>
  <si>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</si>
  <si>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</si>
  <si>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</si>
  <si>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</si>
  <si>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</si>
  <si>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</si>
  <si>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</si>
  <si>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</si>
  <si>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</si>
  <si>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</si>
  <si>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</si>
  <si>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</si>
  <si>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</si>
  <si>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</si>
  <si>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</si>
  <si>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</si>
  <si>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</si>
  <si>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</si>
  <si>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</si>
  <si>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</si>
  <si>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</si>
  <si>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</si>
  <si>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</si>
  <si>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</si>
  <si>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</si>
  <si>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</si>
  <si>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</si>
  <si>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</si>
  <si>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</si>
  <si>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</si>
  <si>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</si>
  <si>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</si>
  <si>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</si>
  <si>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</si>
  <si>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</si>
  <si>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</si>
  <si>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</si>
  <si>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</si>
  <si>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</si>
  <si>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</si>
  <si>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</si>
  <si>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</si>
  <si>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</si>
  <si>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</si>
  <si>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</si>
  <si>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</si>
  <si>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</si>
  <si>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</si>
  <si>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</si>
  <si>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</si>
  <si>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</si>
  <si>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</si>
  <si>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</si>
  <si>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</si>
  <si>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</si>
  <si>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</si>
  <si>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</si>
  <si>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</si>
  <si>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</si>
  <si>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</si>
  <si>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</si>
  <si>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</si>
  <si>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</si>
  <si>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</si>
  <si>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</si>
  <si>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</si>
  <si>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</si>
  <si>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</si>
  <si>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</si>
  <si>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</si>
  <si>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</si>
  <si>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</si>
  <si>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</si>
  <si>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</si>
  <si>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</si>
  <si>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</si>
  <si>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</si>
  <si>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</si>
  <si>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</si>
  <si>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</si>
  <si>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</si>
  <si>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</si>
  <si>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</si>
  <si>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</si>
  <si>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</si>
  <si>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</si>
  <si>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</si>
  <si>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</si>
  <si>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</si>
  <si>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</si>
  <si>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</si>
  <si>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</si>
  <si>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</si>
  <si>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</si>
  <si>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</si>
  <si>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</si>
  <si>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</si>
  <si>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</si>
  <si>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</si>
  <si>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</si>
  <si>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</si>
  <si>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</si>
  <si>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</si>
  <si>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</si>
  <si>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</si>
  <si>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</si>
  <si>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</si>
  <si>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</si>
  <si>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</si>
  <si>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</si>
  <si>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</si>
  <si>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</si>
  <si>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</si>
  <si>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</si>
  <si>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</si>
  <si>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</si>
  <si>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</si>
  <si>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</si>
  <si>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</si>
  <si>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</si>
  <si>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</si>
  <si>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</si>
  <si>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</si>
  <si>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</si>
  <si>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</si>
  <si>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</si>
  <si>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</si>
  <si>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</si>
  <si>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</si>
  <si>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</si>
  <si>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</si>
  <si>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</si>
  <si>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</si>
  <si>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</si>
  <si>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</si>
  <si>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</si>
  <si>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</si>
  <si>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</si>
  <si>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</si>
  <si>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</si>
  <si>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</si>
  <si>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</si>
  <si>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</si>
  <si>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</si>
  <si>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</si>
  <si>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</si>
  <si>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</si>
  <si>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</si>
  <si>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</si>
  <si>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</si>
  <si>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</si>
  <si>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</si>
  <si>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</si>
  <si>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</si>
  <si>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</si>
  <si>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</si>
  <si>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</si>
  <si>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</si>
  <si>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</si>
  <si>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</si>
  <si>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</si>
  <si>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</si>
  <si>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</si>
  <si>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</si>
  <si>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</si>
  <si>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</si>
  <si>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</si>
  <si>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</si>
  <si>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</si>
  <si>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</si>
  <si>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</si>
  <si>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</si>
  <si>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</si>
  <si>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</si>
  <si>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</si>
  <si>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</si>
  <si>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</si>
  <si>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</si>
  <si>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</si>
  <si>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</si>
  <si>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</si>
  <si>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</si>
  <si>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</si>
  <si>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</si>
  <si>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</si>
  <si>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</si>
  <si>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</si>
  <si>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</si>
  <si>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</si>
  <si>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</si>
  <si>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</si>
  <si>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</si>
  <si>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</si>
  <si>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</si>
  <si>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</si>
  <si>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</si>
  <si>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</si>
  <si>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</si>
  <si>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</si>
  <si>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</si>
  <si>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</si>
  <si>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</si>
  <si>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</si>
  <si>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</si>
  <si>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</si>
  <si>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</si>
  <si>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</si>
  <si>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</si>
  <si>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</si>
  <si>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</si>
  <si>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</si>
  <si>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</si>
  <si>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</si>
  <si>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</si>
  <si>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</si>
  <si>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</si>
  <si>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</si>
  <si>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</si>
  <si>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</si>
  <si>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</si>
  <si>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</si>
  <si>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</si>
  <si>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</si>
  <si>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</si>
  <si>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</si>
  <si>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</si>
  <si>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</si>
  <si>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</si>
  <si>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</si>
  <si>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</si>
  <si>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</si>
  <si>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</si>
  <si>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</si>
  <si>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</si>
  <si>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</si>
  <si>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</si>
  <si>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</si>
  <si>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</si>
  <si>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</si>
  <si>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</si>
  <si>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</si>
  <si>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</si>
  <si>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</si>
  <si>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</si>
  <si>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</si>
  <si>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</si>
  <si>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</si>
  <si>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</si>
  <si>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</si>
  <si>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</si>
  <si>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</si>
  <si>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</si>
  <si>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</si>
  <si>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</si>
  <si>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</si>
  <si>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</si>
  <si>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</si>
  <si>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</si>
  <si>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</si>
  <si>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</si>
  <si>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</si>
  <si>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</si>
  <si>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</si>
  <si>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</si>
  <si>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</si>
  <si>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</si>
  <si>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</si>
  <si>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</si>
  <si>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</si>
  <si>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</si>
  <si>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</si>
  <si>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</si>
  <si>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</si>
  <si>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</si>
  <si>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</si>
  <si>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</si>
  <si>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</si>
  <si>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</si>
  <si>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</si>
  <si>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</si>
  <si>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</si>
  <si>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</si>
  <si>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</si>
  <si>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</si>
  <si>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</si>
  <si>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</si>
  <si>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</si>
  <si>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</si>
  <si>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</si>
  <si>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</si>
  <si>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</si>
  <si>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</si>
  <si>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</si>
  <si>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</si>
  <si>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</si>
  <si>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</si>
  <si>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</si>
  <si>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</si>
  <si>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</si>
  <si>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</si>
  <si>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</si>
  <si>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</si>
  <si>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</si>
  <si>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</si>
  <si>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</si>
  <si>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</si>
  <si>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</si>
  <si>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</si>
  <si>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</si>
  <si>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</si>
  <si>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</si>
  <si>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</si>
  <si>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</si>
  <si>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</si>
  <si>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</si>
  <si>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</si>
  <si>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</si>
  <si>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</si>
  <si>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</si>
  <si>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</si>
  <si>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</si>
  <si>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</si>
  <si>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</si>
  <si>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</si>
  <si>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</si>
  <si>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</si>
  <si>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</si>
  <si>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</si>
  <si>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</si>
  <si>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</si>
  <si>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</si>
  <si>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</si>
  <si>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</si>
  <si>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</si>
  <si>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</si>
  <si>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</si>
  <si>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</si>
  <si>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</si>
  <si>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</si>
  <si>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</si>
  <si>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</si>
  <si>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</si>
  <si>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</si>
  <si>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</si>
  <si>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</si>
  <si>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</si>
  <si>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</si>
  <si>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</si>
  <si>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</si>
  <si>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</si>
  <si>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</si>
  <si>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</si>
  <si>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</si>
  <si>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</si>
  <si>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</si>
  <si>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</si>
  <si>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</si>
  <si>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</si>
  <si>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</si>
  <si>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</si>
  <si>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</si>
  <si>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</si>
  <si>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</si>
  <si>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</si>
  <si>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</si>
  <si>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</si>
  <si>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</si>
  <si>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</si>
  <si>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</si>
  <si>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</si>
  <si>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</si>
  <si>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</si>
  <si>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</si>
  <si>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</si>
  <si>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</si>
  <si>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</si>
  <si>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</si>
  <si>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</si>
  <si>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</si>
  <si>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</si>
  <si>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</si>
  <si>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</si>
  <si>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</si>
  <si>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</si>
  <si>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</si>
  <si>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</si>
  <si>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</si>
  <si>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</si>
  <si>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</si>
  <si>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</si>
  <si>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</si>
  <si>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</si>
  <si>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</si>
  <si>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</si>
  <si>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</si>
  <si>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</si>
  <si>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</si>
  <si>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</si>
  <si>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</si>
  <si>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</si>
  <si>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</si>
  <si>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</si>
  <si>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</si>
  <si>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</si>
  <si>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</si>
  <si>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</si>
  <si>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</si>
  <si>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</si>
  <si>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</si>
  <si>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</si>
  <si>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</si>
  <si>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</si>
  <si>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</si>
  <si>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</si>
  <si>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</si>
  <si>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</si>
  <si>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</si>
  <si>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</si>
  <si>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</si>
  <si>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</si>
  <si>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</si>
  <si>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</si>
  <si>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</si>
  <si>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</si>
  <si>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</si>
  <si>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</si>
  <si>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</si>
  <si>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</si>
  <si>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</si>
  <si>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</si>
  <si>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</si>
  <si>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</si>
  <si>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</si>
  <si>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</si>
  <si>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</si>
  <si>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</si>
  <si>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</si>
  <si>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</si>
  <si>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</si>
  <si>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</si>
  <si>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</si>
  <si>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</si>
  <si>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</si>
  <si>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</si>
  <si>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</si>
  <si>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</si>
  <si>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</si>
  <si>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</si>
  <si>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</si>
  <si>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</si>
  <si>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</si>
  <si>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</si>
  <si>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</si>
  <si>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</si>
  <si>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</si>
  <si>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</si>
  <si>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</si>
  <si>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</si>
  <si>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</si>
  <si>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</si>
  <si>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</si>
  <si>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</si>
  <si>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</si>
  <si>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</si>
  <si>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</si>
  <si>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</si>
  <si>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</si>
  <si>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</si>
  <si>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</si>
  <si>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</si>
  <si>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</si>
  <si>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</si>
  <si>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</si>
  <si>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</si>
  <si>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</si>
  <si>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</si>
  <si>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</si>
  <si>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</si>
  <si>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</si>
  <si>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</si>
  <si>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</si>
  <si>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</si>
  <si>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</si>
  <si>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</si>
  <si>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</si>
  <si>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</si>
  <si>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</si>
  <si>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</si>
  <si>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</si>
  <si>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</si>
  <si>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</si>
  <si>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</si>
  <si>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</si>
  <si>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</si>
  <si>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</si>
  <si>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</si>
  <si>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</si>
  <si>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</si>
  <si>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</si>
  <si>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</si>
  <si>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</si>
  <si>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</si>
  <si>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</si>
  <si>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</si>
  <si>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</si>
  <si>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</si>
  <si>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</si>
  <si>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</si>
  <si>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</si>
  <si>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</si>
  <si>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</si>
  <si>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</si>
  <si>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</si>
  <si>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</si>
  <si>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</si>
  <si>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</si>
  <si>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</si>
  <si>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</si>
  <si>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</si>
  <si>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</si>
  <si>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</si>
  <si>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</si>
  <si>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</si>
  <si>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</si>
  <si>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</si>
  <si>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</si>
  <si>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</si>
  <si>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</si>
  <si>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</si>
  <si>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</si>
  <si>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</si>
  <si>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</si>
  <si>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</si>
  <si>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</si>
  <si>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</si>
  <si>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</si>
  <si>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</si>
  <si>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</si>
  <si>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</si>
  <si>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</si>
  <si>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</si>
  <si>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</si>
  <si>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</si>
  <si>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</si>
  <si>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</si>
  <si>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</si>
  <si>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</si>
  <si>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</si>
  <si>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</si>
  <si>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</si>
  <si>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</si>
  <si>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</si>
  <si>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</si>
  <si>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</si>
  <si>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</si>
  <si>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</si>
  <si>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</si>
  <si>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</si>
  <si>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</si>
  <si>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</si>
  <si>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</si>
  <si>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</si>
  <si>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</si>
  <si>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</si>
  <si>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</si>
  <si>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</si>
  <si>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</si>
  <si>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</si>
  <si>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</si>
  <si>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</si>
  <si>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</si>
  <si>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</si>
  <si>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</si>
  <si>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</si>
  <si>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</si>
  <si>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</si>
  <si>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</si>
  <si>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</si>
  <si>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</si>
  <si>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</si>
  <si>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</si>
  <si>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</si>
  <si>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</si>
  <si>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</si>
  <si>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</si>
  <si>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</si>
  <si>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</si>
  <si>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</si>
  <si>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</si>
  <si>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</si>
  <si>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</si>
  <si>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</si>
  <si>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</si>
  <si>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</si>
  <si>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</si>
  <si>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</si>
  <si>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</si>
  <si>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</si>
  <si>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</si>
  <si>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</si>
  <si>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</si>
  <si>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</si>
  <si>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</si>
  <si>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</si>
  <si>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</si>
  <si>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</si>
  <si>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</si>
  <si>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</si>
  <si>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</si>
  <si>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</si>
  <si>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</si>
  <si>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</si>
  <si>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</si>
  <si>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</si>
  <si>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</si>
  <si>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</si>
  <si>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</si>
  <si>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</si>
  <si>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</si>
  <si>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</si>
  <si>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</si>
  <si>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</si>
  <si>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</si>
  <si>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</si>
  <si>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</si>
  <si>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</si>
  <si>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</si>
  <si>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</si>
  <si>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</si>
  <si>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</si>
  <si>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</si>
  <si>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</si>
  <si>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</si>
  <si>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</si>
  <si>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</si>
  <si>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</si>
  <si>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</si>
  <si>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</si>
  <si>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</si>
  <si>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</si>
  <si>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</si>
  <si>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</si>
  <si>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</si>
  <si>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</si>
  <si>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</si>
  <si>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</si>
  <si>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</si>
  <si>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</si>
  <si>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</si>
  <si>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</si>
  <si>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</si>
  <si>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</si>
  <si>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</si>
  <si>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</si>
  <si>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</si>
  <si>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</si>
  <si>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</si>
  <si>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</si>
  <si>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</si>
  <si>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</si>
  <si>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</si>
  <si>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</si>
  <si>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</si>
  <si>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</si>
  <si>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</si>
  <si>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</si>
  <si>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</si>
  <si>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</si>
  <si>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</si>
  <si>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</si>
  <si>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</si>
  <si>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</si>
  <si>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</si>
  <si>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</si>
  <si>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</si>
  <si>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</si>
  <si>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</si>
  <si>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</si>
  <si>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</si>
  <si>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</si>
  <si>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</si>
  <si>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</si>
  <si>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</si>
  <si>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</si>
  <si>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</si>
  <si>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</si>
  <si>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</si>
  <si>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</si>
  <si>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</si>
  <si>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</si>
  <si>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</si>
  <si>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</si>
  <si>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</si>
  <si>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</si>
  <si>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</si>
  <si>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</si>
  <si>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</si>
  <si>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</si>
  <si>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</si>
  <si>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</si>
  <si>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</si>
  <si>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</si>
  <si>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</si>
  <si>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</si>
  <si>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</si>
  <si>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</si>
  <si>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</si>
  <si>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</si>
  <si>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</si>
  <si>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</si>
  <si>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</si>
  <si>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</si>
  <si>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</si>
  <si>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</si>
  <si>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</si>
  <si>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</si>
  <si>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</si>
  <si>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</si>
  <si>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</si>
  <si>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</si>
  <si>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</si>
  <si>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</si>
  <si>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</si>
  <si>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</si>
  <si>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</si>
  <si>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</si>
  <si>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</si>
  <si>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</si>
  <si>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</si>
  <si>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</si>
  <si>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</si>
  <si>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</si>
  <si>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</si>
  <si>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</si>
  <si>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</si>
  <si>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</si>
  <si>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</si>
  <si>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</si>
  <si>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</si>
  <si>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</si>
  <si>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</si>
  <si>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</si>
  <si>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</si>
  <si>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</si>
  <si>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</si>
  <si>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</si>
  <si>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</si>
  <si>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</si>
  <si>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</si>
  <si>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</si>
  <si>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</si>
  <si>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</si>
  <si>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</si>
  <si>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</si>
  <si>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</si>
  <si>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</si>
  <si>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</si>
  <si>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</si>
  <si>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</si>
  <si>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</si>
  <si>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</si>
  <si>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</si>
  <si>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</si>
  <si>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</si>
  <si>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</si>
  <si>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</si>
  <si>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</si>
  <si>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</si>
  <si>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</si>
  <si>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</si>
  <si>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</si>
  <si>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</si>
  <si>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</si>
  <si>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</si>
  <si>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</si>
  <si>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</si>
  <si>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</si>
  <si>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</si>
  <si>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</si>
  <si>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</si>
  <si>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</si>
  <si>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</si>
  <si>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</si>
  <si>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</si>
  <si>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</si>
  <si>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</si>
  <si>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</si>
  <si>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</si>
  <si>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</si>
  <si>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</si>
  <si>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</si>
  <si>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</si>
  <si>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</si>
  <si>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</si>
  <si>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</si>
  <si>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</si>
  <si>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</si>
  <si>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</si>
  <si>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</si>
  <si>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</si>
  <si>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</si>
  <si>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</si>
  <si>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</si>
  <si>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</si>
  <si>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</si>
  <si>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</si>
  <si>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</si>
  <si>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</si>
  <si>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</si>
  <si>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</si>
  <si>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</si>
  <si>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</si>
  <si>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</si>
  <si>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</si>
  <si>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</si>
  <si>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</si>
  <si>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</si>
  <si>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</si>
  <si>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</si>
  <si>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</si>
  <si>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</si>
  <si>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</si>
  <si>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</si>
  <si>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</si>
  <si>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</si>
  <si>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</si>
  <si>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</si>
  <si>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</si>
  <si>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</si>
  <si>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</si>
  <si>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</si>
  <si>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</si>
  <si>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</si>
  <si>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</si>
  <si>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</si>
  <si>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</si>
  <si>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</si>
  <si>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</si>
  <si>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</si>
  <si>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</si>
  <si>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</si>
  <si>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</si>
  <si>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</si>
  <si>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</si>
  <si>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</si>
  <si>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</si>
  <si>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</si>
  <si>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</si>
  <si>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</si>
  <si>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</si>
  <si>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</si>
  <si>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</si>
  <si>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</si>
  <si>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</si>
  <si>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</si>
  <si>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</si>
  <si>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</si>
  <si>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</si>
  <si>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</si>
  <si>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</si>
  <si>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</si>
  <si>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</si>
  <si>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</si>
  <si>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</si>
  <si>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</si>
  <si>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</si>
  <si>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</si>
  <si>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</si>
  <si>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</si>
  <si>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</si>
  <si>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</si>
  <si>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</si>
  <si>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</si>
  <si>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</si>
  <si>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</si>
  <si>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</si>
  <si>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</si>
  <si>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</si>
  <si>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</si>
  <si>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</si>
  <si>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</si>
  <si>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</si>
  <si>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</si>
  <si>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</si>
  <si>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</si>
  <si>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</si>
  <si>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</si>
  <si>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</si>
  <si>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</si>
  <si>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</si>
  <si>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</si>
  <si>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</si>
  <si>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</si>
  <si>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</si>
  <si>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</si>
  <si>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</si>
  <si>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</si>
  <si>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</si>
  <si>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</si>
  <si>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</si>
  <si>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</si>
  <si>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</si>
  <si>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</si>
  <si>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</si>
  <si>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</si>
  <si>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</si>
  <si>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</si>
  <si>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</si>
  <si>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</si>
  <si>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</si>
  <si>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</si>
  <si>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</si>
  <si>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</si>
  <si>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</si>
  <si>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</si>
  <si>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</si>
  <si>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</si>
  <si>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</si>
  <si>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</si>
  <si>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</si>
  <si>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</si>
  <si>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</si>
  <si>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</si>
  <si>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</si>
  <si>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</si>
  <si>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</si>
  <si>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</si>
  <si>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</si>
  <si>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</si>
  <si>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</si>
  <si>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</si>
  <si>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</si>
  <si>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</si>
  <si>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</si>
  <si>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</si>
  <si>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</si>
  <si>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</si>
  <si>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</si>
  <si>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</si>
  <si>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</si>
  <si>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</si>
  <si>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</si>
  <si>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</si>
  <si>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</si>
  <si>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</si>
  <si>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</si>
  <si>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</si>
  <si>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</si>
  <si>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</si>
  <si>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</si>
  <si>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</si>
  <si>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</si>
  <si>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</si>
  <si>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</si>
  <si>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</si>
  <si>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</si>
  <si>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</si>
  <si>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</si>
  <si>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</si>
  <si>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</si>
  <si>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</si>
  <si>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</si>
  <si>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</si>
  <si>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</si>
  <si>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</si>
  <si>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</si>
  <si>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</si>
  <si>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</si>
  <si>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</si>
  <si>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</si>
  <si>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</si>
  <si>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</si>
  <si>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</si>
  <si>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</si>
  <si>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</si>
  <si>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</si>
  <si>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</si>
  <si>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</si>
  <si>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</si>
  <si>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</si>
  <si>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</si>
  <si>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</si>
  <si>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</si>
  <si>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</si>
  <si>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</si>
  <si>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</si>
  <si>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</si>
  <si>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</si>
  <si>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</si>
  <si>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</si>
  <si>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</si>
  <si>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</si>
  <si>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</si>
  <si>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</si>
  <si>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</si>
  <si>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</si>
  <si>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</si>
  <si>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</si>
  <si>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</si>
  <si>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</si>
  <si>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</si>
  <si>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</si>
  <si>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</si>
  <si>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</si>
  <si>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</si>
  <si>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</si>
  <si>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</si>
  <si>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</si>
  <si>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</si>
  <si>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</si>
  <si>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</si>
  <si>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</si>
  <si>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</si>
  <si>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</si>
  <si>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</si>
  <si>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</si>
  <si>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</si>
  <si>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</si>
  <si>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</si>
  <si>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</si>
  <si>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</si>
  <si>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</si>
  <si>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</si>
  <si>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</si>
  <si>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</si>
  <si>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</si>
  <si>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</si>
  <si>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</si>
  <si>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</si>
  <si>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</si>
  <si>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</si>
  <si>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</si>
  <si>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</si>
  <si>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</si>
  <si>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</si>
  <si>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</si>
  <si>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</si>
  <si>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</si>
  <si>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</si>
  <si>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</si>
  <si>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</si>
  <si>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</si>
  <si>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</si>
  <si>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</si>
  <si>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</si>
  <si>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</si>
  <si>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</si>
  <si>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</si>
  <si>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</si>
  <si>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</si>
  <si>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</si>
  <si>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</si>
  <si>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</si>
  <si>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</si>
  <si>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</si>
  <si>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</si>
  <si>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</si>
  <si>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</si>
  <si>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</si>
  <si>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</si>
  <si>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</si>
  <si>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</si>
  <si>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</si>
  <si>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</si>
  <si>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</si>
  <si>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</si>
  <si>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</si>
  <si>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</si>
  <si>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</si>
  <si>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</si>
  <si>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</si>
  <si>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</si>
  <si>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</si>
  <si>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</si>
  <si>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</si>
  <si>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</si>
  <si>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</si>
  <si>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</si>
  <si>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</si>
  <si>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</si>
  <si>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</si>
  <si>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</si>
  <si>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</si>
  <si>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</si>
  <si>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</si>
  <si>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</si>
  <si>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</si>
  <si>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</si>
  <si>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</si>
  <si>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</si>
  <si>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</si>
  <si>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</si>
  <si>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</si>
  <si>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</si>
  <si>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</si>
  <si>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</si>
  <si>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</si>
  <si>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</si>
  <si>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</si>
  <si>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</si>
  <si>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</si>
  <si>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</si>
  <si>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</si>
  <si>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</si>
  <si>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</si>
  <si>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</si>
  <si>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</si>
  <si>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</si>
  <si>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</si>
  <si>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</si>
  <si>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</si>
  <si>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</si>
  <si>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</si>
  <si>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</si>
  <si>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</si>
  <si>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</si>
  <si>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</si>
  <si>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</si>
  <si>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</si>
  <si>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</si>
  <si>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</si>
  <si>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</si>
  <si>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</si>
  <si>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</si>
  <si>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</si>
  <si>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</si>
  <si>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</si>
  <si>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</si>
  <si>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</si>
  <si>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</si>
  <si>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</si>
  <si>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</si>
  <si>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</si>
  <si>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</si>
  <si>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</si>
  <si>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</si>
  <si>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</si>
  <si>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</si>
  <si>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</si>
  <si>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</si>
  <si>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</si>
  <si>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</si>
  <si>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</si>
  <si>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</si>
  <si>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</si>
  <si>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</si>
  <si>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</si>
  <si>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</si>
  <si>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</si>
  <si>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</si>
  <si>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</si>
  <si>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</si>
  <si>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</si>
  <si>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</si>
  <si>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</si>
  <si>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</si>
  <si>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</si>
  <si>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</si>
  <si>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</si>
  <si>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</si>
  <si>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</si>
  <si>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</si>
  <si>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</si>
  <si>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</si>
  <si>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</si>
  <si>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</si>
  <si>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</si>
  <si>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</si>
  <si>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</si>
  <si>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</si>
  <si>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</si>
  <si>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</si>
  <si>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</si>
  <si>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</si>
  <si>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</si>
  <si>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</si>
  <si>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</si>
  <si>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</si>
  <si>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</si>
  <si>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</si>
  <si>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</si>
  <si>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</si>
  <si>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</si>
  <si>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</si>
  <si>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</si>
  <si>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</si>
  <si>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</si>
  <si>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</si>
  <si>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</si>
  <si>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</si>
  <si>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</si>
  <si>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</si>
  <si>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</si>
  <si>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</si>
  <si>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</si>
  <si>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</si>
  <si>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</si>
  <si>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</si>
  <si>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</si>
  <si>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</si>
  <si>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</si>
  <si>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</si>
  <si>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</si>
  <si>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</si>
  <si>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</si>
  <si>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</si>
  <si>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</si>
  <si>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</si>
  <si>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</si>
  <si>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</si>
  <si>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</si>
  <si>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</si>
  <si>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</si>
  <si>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</si>
  <si>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</si>
  <si>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</si>
  <si>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</si>
  <si>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</si>
  <si>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</si>
  <si>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</si>
  <si>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</si>
  <si>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</si>
  <si>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</si>
  <si>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</si>
  <si>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</si>
  <si>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</si>
  <si>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</si>
  <si>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</si>
  <si>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</si>
  <si>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</si>
  <si>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</si>
  <si>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</si>
  <si>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</si>
  <si>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</si>
  <si>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</si>
  <si>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</si>
  <si>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</si>
  <si>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</si>
  <si>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</si>
  <si>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</si>
  <si>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</si>
  <si>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</si>
  <si>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</si>
  <si>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</si>
  <si>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</si>
  <si>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</si>
  <si>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</si>
  <si>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</si>
  <si>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</si>
  <si>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</si>
  <si>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</si>
  <si>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</si>
  <si>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</si>
  <si>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</si>
  <si>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</si>
  <si>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</si>
  <si>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</si>
  <si>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</si>
  <si>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</si>
  <si>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</si>
  <si>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</si>
  <si>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</si>
  <si>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</si>
  <si>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</si>
  <si>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</si>
  <si>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</si>
  <si>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</si>
  <si>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</si>
  <si>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</si>
  <si>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</si>
  <si>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</si>
  <si>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</si>
  <si>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</si>
  <si>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</si>
  <si>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</si>
  <si>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</si>
  <si>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</si>
  <si>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</si>
  <si>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</si>
  <si>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</si>
  <si>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</si>
  <si>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</si>
  <si>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</si>
  <si>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</si>
  <si>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</si>
  <si>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</si>
  <si>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</si>
  <si>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</si>
  <si>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</si>
  <si>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</si>
  <si>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</si>
  <si>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</si>
  <si>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</si>
  <si>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</si>
  <si>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</si>
  <si>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</si>
  <si>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</si>
  <si>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</si>
  <si>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</si>
  <si>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</si>
  <si>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</si>
  <si>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</si>
  <si>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</si>
  <si>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</si>
  <si>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</si>
  <si>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</si>
  <si>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</si>
  <si>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</si>
  <si>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</si>
  <si>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</si>
  <si>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</si>
  <si>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</si>
  <si>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</si>
  <si>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</si>
  <si>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</si>
  <si>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</si>
  <si>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</si>
  <si>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</si>
  <si>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</si>
  <si>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</si>
  <si>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</si>
  <si>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</si>
  <si>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</si>
  <si>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</si>
  <si>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</si>
  <si>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</si>
  <si>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</si>
  <si>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</si>
  <si>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</si>
  <si>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</si>
  <si>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</si>
  <si>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</si>
  <si>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</si>
  <si>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</si>
  <si>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</si>
  <si>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</si>
  <si>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</si>
  <si>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</si>
  <si>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</si>
  <si>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</si>
  <si>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</si>
  <si>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</si>
  <si>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</si>
  <si>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</si>
  <si>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</si>
  <si>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</si>
  <si>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</si>
  <si>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</si>
  <si>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</si>
  <si>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</si>
  <si>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</si>
  <si>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</si>
  <si>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</si>
  <si>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</si>
  <si>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</si>
  <si>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</si>
  <si>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</si>
  <si>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</si>
  <si>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</si>
  <si>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</si>
  <si>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</si>
  <si>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</si>
  <si>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</si>
  <si>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</si>
  <si>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</si>
  <si>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</si>
  <si>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</si>
  <si>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</si>
  <si>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</si>
  <si>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</si>
  <si>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</si>
  <si>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</si>
  <si>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</si>
  <si>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</si>
  <si>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</si>
  <si>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</si>
  <si>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</si>
  <si>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</si>
  <si>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</si>
  <si>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</si>
  <si>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</si>
  <si>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</si>
  <si>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</si>
  <si>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</si>
  <si>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</si>
  <si>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</si>
  <si>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</si>
  <si>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</si>
  <si>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</si>
  <si>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</si>
  <si>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</si>
  <si>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</si>
  <si>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</si>
  <si>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</si>
  <si>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</si>
  <si>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</si>
  <si>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</si>
  <si>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</si>
  <si>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</si>
  <si>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</si>
  <si>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</si>
  <si>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</si>
  <si>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</si>
  <si>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</si>
  <si>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</si>
  <si>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</si>
  <si>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</si>
  <si>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</si>
  <si>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</si>
  <si>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</si>
  <si>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</si>
  <si>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</si>
  <si>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</si>
  <si>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</si>
  <si>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</si>
  <si>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</si>
  <si>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</si>
  <si>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</si>
  <si>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</si>
  <si>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</si>
  <si>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</si>
  <si>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</si>
  <si>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</si>
  <si>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</si>
  <si>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</si>
  <si>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</si>
  <si>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</si>
  <si>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</si>
  <si>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</si>
  <si>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</si>
  <si>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</si>
  <si>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</si>
  <si>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</si>
  <si>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</si>
  <si>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</si>
  <si>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</si>
  <si>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</si>
  <si>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</si>
  <si>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</si>
  <si>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</si>
  <si>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</si>
  <si>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</si>
  <si>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</si>
  <si>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</si>
  <si>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</si>
  <si>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</si>
  <si>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</si>
  <si>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</si>
  <si>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</si>
  <si>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</si>
  <si>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</si>
  <si>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</si>
  <si>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</si>
  <si>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</si>
  <si>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</si>
  <si>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</si>
  <si>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</si>
  <si>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</si>
  <si>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</si>
  <si>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</si>
  <si>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</si>
  <si>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</si>
  <si>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</si>
  <si>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</si>
  <si>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</si>
  <si>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</si>
  <si>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</si>
  <si>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</si>
  <si>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</si>
  <si>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</si>
  <si>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</si>
  <si>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</si>
  <si>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</si>
  <si>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</si>
  <si>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</si>
  <si>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</si>
  <si>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</si>
  <si>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</si>
  <si>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</si>
  <si>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</si>
  <si>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</si>
  <si>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</si>
  <si>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</si>
  <si>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</si>
  <si>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</si>
  <si>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</si>
  <si>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</si>
  <si>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</si>
  <si>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</si>
  <si>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</si>
  <si>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</si>
  <si>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</si>
  <si>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</si>
  <si>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</si>
  <si>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</si>
  <si>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</si>
  <si>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</si>
  <si>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</si>
  <si>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</si>
  <si>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</si>
  <si>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</si>
  <si>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</si>
  <si>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</si>
  <si>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</si>
  <si>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</si>
  <si>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</si>
  <si>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</si>
  <si>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</si>
  <si>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</si>
  <si>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</si>
  <si>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</si>
  <si>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</si>
  <si>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</si>
  <si>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</si>
  <si>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</si>
  <si>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</si>
  <si>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</si>
  <si>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</si>
  <si>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</si>
  <si>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</si>
  <si>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</si>
  <si>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</si>
  <si>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</si>
  <si>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</si>
  <si>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</si>
  <si>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</si>
  <si>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</si>
  <si>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</si>
  <si>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</si>
  <si>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</si>
  <si>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</si>
  <si>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</si>
  <si>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</si>
  <si>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</si>
  <si>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</si>
  <si>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</si>
  <si>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</si>
  <si>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</si>
  <si>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</si>
  <si>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</si>
  <si>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</si>
  <si>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</si>
  <si>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</si>
  <si>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</si>
  <si>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</si>
  <si>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</si>
  <si>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</si>
  <si>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</si>
  <si>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</si>
  <si>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</si>
  <si>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</si>
  <si>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</si>
  <si>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</si>
  <si>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</si>
  <si>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</si>
  <si>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</si>
  <si>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</si>
  <si>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</si>
  <si>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</si>
  <si>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</si>
  <si>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</si>
  <si>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</si>
  <si>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</si>
  <si>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</si>
  <si>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</si>
  <si>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</si>
  <si>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</si>
  <si>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</si>
  <si>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</si>
  <si>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</si>
  <si>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</si>
  <si>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</si>
  <si>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</si>
  <si>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</si>
  <si>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</si>
  <si>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</si>
  <si>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</si>
  <si>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</si>
  <si>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</si>
  <si>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</si>
  <si>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</si>
  <si>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</si>
  <si>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</si>
  <si>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</si>
  <si>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</si>
  <si>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</si>
  <si>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</si>
  <si>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</si>
  <si>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</si>
  <si>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</si>
  <si>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</si>
  <si>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</si>
  <si>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</si>
  <si>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</si>
  <si>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</si>
  <si>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</si>
  <si>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</si>
  <si>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</si>
  <si>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</si>
  <si>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</si>
  <si>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</si>
  <si>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</si>
  <si>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</si>
  <si>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</si>
  <si>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</si>
  <si>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</si>
  <si>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</si>
  <si>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</si>
  <si>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</si>
  <si>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</si>
  <si>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</si>
  <si>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</si>
  <si>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</si>
  <si>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</si>
  <si>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</si>
  <si>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</si>
  <si>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</si>
  <si>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</si>
  <si>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</si>
  <si>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</si>
  <si>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</si>
  <si>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</si>
  <si>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</si>
  <si>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</si>
  <si>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</si>
  <si>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</si>
  <si>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</si>
  <si>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</si>
  <si>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</si>
  <si>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</si>
  <si>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</si>
  <si>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</si>
  <si>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</si>
  <si>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</si>
  <si>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</si>
  <si>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</si>
  <si>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</si>
  <si>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</si>
  <si>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</si>
  <si>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</si>
  <si>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</si>
  <si>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</si>
  <si>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</si>
  <si>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</si>
  <si>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</si>
  <si>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</si>
  <si>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</si>
  <si>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</si>
  <si>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</si>
  <si>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</si>
  <si>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</si>
  <si>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</si>
  <si>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</si>
  <si>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</si>
  <si>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</si>
  <si>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</si>
  <si>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</si>
  <si>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</si>
  <si>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</si>
  <si>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</si>
  <si>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</si>
  <si>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</si>
  <si>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</si>
  <si>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</si>
  <si>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</si>
  <si>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</si>
  <si>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</si>
  <si>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</si>
  <si>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</si>
  <si>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</si>
  <si>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</si>
  <si>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</si>
  <si>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</si>
  <si>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</si>
  <si>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</si>
  <si>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</si>
  <si>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</si>
  <si>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</si>
  <si>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</si>
  <si>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</si>
  <si>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</si>
  <si>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</si>
  <si>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</si>
  <si>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</si>
  <si>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</si>
  <si>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</si>
  <si>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</si>
  <si>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</si>
  <si>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</si>
  <si>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</si>
  <si>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</si>
  <si>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</si>
  <si>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</si>
  <si>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</si>
  <si>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</si>
  <si>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</si>
  <si>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</si>
  <si>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</si>
  <si>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</si>
  <si>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</si>
  <si>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</si>
  <si>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</si>
  <si>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</si>
  <si>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</si>
  <si>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</si>
  <si>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</si>
  <si>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</si>
  <si>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</si>
  <si>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</si>
  <si>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</si>
  <si>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</si>
  <si>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</si>
  <si>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</si>
  <si>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</si>
  <si>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</si>
  <si>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</si>
  <si>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</si>
  <si>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</si>
  <si>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</si>
  <si>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</si>
  <si>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</si>
  <si>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</si>
  <si>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</si>
  <si>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</si>
  <si>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</si>
  <si>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</si>
  <si>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</si>
  <si>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</si>
  <si>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</si>
  <si>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</si>
  <si>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</si>
  <si>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</si>
  <si>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</si>
  <si>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</si>
  <si>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</si>
  <si>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</si>
  <si>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</si>
  <si>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</si>
  <si>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</si>
  <si>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</si>
  <si>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</si>
  <si>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</si>
  <si>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</si>
  <si>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</si>
  <si>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</si>
  <si>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</si>
  <si>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</si>
  <si>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</si>
  <si>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</si>
  <si>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</si>
  <si>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</si>
  <si>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</si>
  <si>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</si>
  <si>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</si>
  <si>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</si>
  <si>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</si>
  <si>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</si>
  <si>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</si>
  <si>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</si>
  <si>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</si>
  <si>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</si>
  <si>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</si>
  <si>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</si>
  <si>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</si>
  <si>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</si>
  <si>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</si>
  <si>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</si>
  <si>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</si>
  <si>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</si>
  <si>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</si>
  <si>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</si>
  <si>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</si>
  <si>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</si>
  <si>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</si>
  <si>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</si>
  <si>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</si>
  <si>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</si>
  <si>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</si>
  <si>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</si>
  <si>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</si>
  <si>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</si>
  <si>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</si>
  <si>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</si>
  <si>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</si>
  <si>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</si>
  <si>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</si>
  <si>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</si>
  <si>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</si>
  <si>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</si>
  <si>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</si>
  <si>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</si>
  <si>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</si>
  <si>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</si>
  <si>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</si>
  <si>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</si>
  <si>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</si>
  <si>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</si>
  <si>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</si>
  <si>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</si>
  <si>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</si>
  <si>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</si>
  <si>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</si>
  <si>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</si>
  <si>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</si>
  <si>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</si>
  <si>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</si>
  <si>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</si>
  <si>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</si>
  <si>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</si>
  <si>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</si>
  <si>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</si>
  <si>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</si>
  <si>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</si>
  <si>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</si>
  <si>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</si>
  <si>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</si>
  <si>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</si>
  <si>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</si>
  <si>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</si>
  <si>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</si>
  <si>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</si>
  <si>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</si>
  <si>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</si>
  <si>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</si>
  <si>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</si>
  <si>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</si>
  <si>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</si>
  <si>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</si>
  <si>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</si>
  <si>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</si>
  <si>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</si>
  <si>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</si>
  <si>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</si>
  <si>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</si>
  <si>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</si>
  <si>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</si>
  <si>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</si>
  <si>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</si>
  <si>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</si>
  <si>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</si>
  <si>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</si>
  <si>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</si>
  <si>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</si>
  <si>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</si>
  <si>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</si>
  <si>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</si>
  <si>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</si>
  <si>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</si>
  <si>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</si>
  <si>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</si>
  <si>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</si>
  <si>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</si>
  <si>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</si>
  <si>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</si>
  <si>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</si>
  <si>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</si>
  <si>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</si>
  <si>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</si>
  <si>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</si>
  <si>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</si>
  <si>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</si>
  <si>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</si>
  <si>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</si>
  <si>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</si>
  <si>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</si>
  <si>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</si>
  <si>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</si>
  <si>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</si>
  <si>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</si>
  <si>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</si>
  <si>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</si>
  <si>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</si>
  <si>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</si>
  <si>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</si>
  <si>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</si>
  <si>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</si>
  <si>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</si>
  <si>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</si>
  <si>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</si>
  <si>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</si>
  <si>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</si>
  <si>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</si>
  <si>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</si>
  <si>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</si>
  <si>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</si>
  <si>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</si>
  <si>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</si>
  <si>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</si>
  <si>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</si>
  <si>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</si>
  <si>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</si>
  <si>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</si>
  <si>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</si>
  <si>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</si>
  <si>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</si>
  <si>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</si>
  <si>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</si>
  <si>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</si>
  <si>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</si>
  <si>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</si>
  <si>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</si>
  <si>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</si>
  <si>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</si>
  <si>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</si>
  <si>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</si>
  <si>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</si>
  <si>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</si>
  <si>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</si>
  <si>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</si>
  <si>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</si>
  <si>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</si>
  <si>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</si>
  <si>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</si>
  <si>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</si>
  <si>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</si>
  <si>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</si>
  <si>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</si>
  <si>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</si>
  <si>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</si>
  <si>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</si>
  <si>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</si>
  <si>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</si>
  <si>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</si>
  <si>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</si>
  <si>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</si>
  <si>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</si>
  <si>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</si>
  <si>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</si>
  <si>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</si>
  <si>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</si>
  <si>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</si>
  <si>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</si>
  <si>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</si>
  <si>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</si>
  <si>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</si>
  <si>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</si>
  <si>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</si>
  <si>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</si>
  <si>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</si>
  <si>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</si>
  <si>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</si>
  <si>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</si>
  <si>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</si>
  <si>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</si>
  <si>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</si>
  <si>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</si>
  <si>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</si>
  <si>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</si>
  <si>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</si>
  <si>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</si>
  <si>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</si>
  <si>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</si>
  <si>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</si>
  <si>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</si>
  <si>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</si>
  <si>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</si>
  <si>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</si>
  <si>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</si>
  <si>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</si>
  <si>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</si>
  <si>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</si>
  <si>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</si>
  <si>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</si>
  <si>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</si>
  <si>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</si>
  <si>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</si>
  <si>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</si>
  <si>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</si>
  <si>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</si>
  <si>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</si>
  <si>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</si>
  <si>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</si>
  <si>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</si>
  <si>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</si>
  <si>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</si>
  <si>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</si>
  <si>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</si>
  <si>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</si>
  <si>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</si>
  <si>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</si>
  <si>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</si>
  <si>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</si>
  <si>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</si>
  <si>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</si>
  <si>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</si>
  <si>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</si>
  <si>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</si>
  <si>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</si>
  <si>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</si>
  <si>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</si>
  <si>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</si>
  <si>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</si>
  <si>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</si>
  <si>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</si>
  <si>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</si>
  <si>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</si>
  <si>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</si>
  <si>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</si>
  <si>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</si>
  <si>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</si>
  <si>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</si>
  <si>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</si>
  <si>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</si>
  <si>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</si>
  <si>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</si>
  <si>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</si>
  <si>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</si>
  <si>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</si>
  <si>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</si>
  <si>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</si>
  <si>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</si>
  <si>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</si>
  <si>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</si>
  <si>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</si>
  <si>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</si>
  <si>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</si>
  <si>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</si>
  <si>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</si>
  <si>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</si>
  <si>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</si>
  <si>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</si>
  <si>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</si>
  <si>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</si>
  <si>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</si>
  <si>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</si>
  <si>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</si>
  <si>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</si>
  <si>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</si>
  <si>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</si>
  <si>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</si>
  <si>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</si>
  <si>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</si>
  <si>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</si>
  <si>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</si>
  <si>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</si>
  <si>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</si>
  <si>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</si>
  <si>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</si>
  <si>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</si>
  <si>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</si>
  <si>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</si>
  <si>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</si>
  <si>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</si>
  <si>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</si>
  <si>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</si>
  <si>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</si>
  <si>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</si>
  <si>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</si>
  <si>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</si>
  <si>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</si>
  <si>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</si>
  <si>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</si>
  <si>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</si>
  <si>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</si>
  <si>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</si>
  <si>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</si>
  <si>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</si>
  <si>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</si>
  <si>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</si>
  <si>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</si>
  <si>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</si>
  <si>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</si>
  <si>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</si>
  <si>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</si>
  <si>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</si>
  <si>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</si>
  <si>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</si>
  <si>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</si>
  <si>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</si>
  <si>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</si>
  <si>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</si>
  <si>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</si>
  <si>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</si>
  <si>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</si>
  <si>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</si>
  <si>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</si>
  <si>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</si>
  <si>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</si>
  <si>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</si>
  <si>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</si>
  <si>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</si>
  <si>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</si>
  <si>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</si>
  <si>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</si>
  <si>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</si>
  <si>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</si>
  <si>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</si>
  <si>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</si>
  <si>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</si>
  <si>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</si>
  <si>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</si>
  <si>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</si>
  <si>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</si>
  <si>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</si>
  <si>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</si>
  <si>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</si>
  <si>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</si>
  <si>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</si>
  <si>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</si>
  <si>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</si>
  <si>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</si>
  <si>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</si>
  <si>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</si>
  <si>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</si>
  <si>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</si>
  <si>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</si>
  <si>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</si>
  <si>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</si>
  <si>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</si>
  <si>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</si>
  <si>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</si>
  <si>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</si>
  <si>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</si>
  <si>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</si>
  <si>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</si>
  <si>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</si>
  <si>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</si>
  <si>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</si>
  <si>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</si>
  <si>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</si>
  <si>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</si>
  <si>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</si>
  <si>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</si>
  <si>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</si>
  <si>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</si>
  <si>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</si>
  <si>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</si>
  <si>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</si>
  <si>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</si>
  <si>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</si>
  <si>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</si>
  <si>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</si>
  <si>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</si>
  <si>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</si>
  <si>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</si>
  <si>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</si>
  <si>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</si>
  <si>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</si>
  <si>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</si>
  <si>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</si>
  <si>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</si>
  <si>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</si>
  <si>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</si>
  <si>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</si>
  <si>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</si>
  <si>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</si>
  <si>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</si>
  <si>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</si>
  <si>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</si>
  <si>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</si>
  <si>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</si>
  <si>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</si>
  <si>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</si>
  <si>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</si>
  <si>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</si>
  <si>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</si>
  <si>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</si>
  <si>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</si>
  <si>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</si>
  <si>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</si>
  <si>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</si>
  <si>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</si>
  <si>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</si>
  <si>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</si>
  <si>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</si>
  <si>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</si>
  <si>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</si>
  <si>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</si>
  <si>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</si>
  <si>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</si>
  <si>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</si>
  <si>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</si>
  <si>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</si>
  <si>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</si>
  <si>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</si>
  <si>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</si>
  <si>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</si>
  <si>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</si>
  <si>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</si>
  <si>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</si>
  <si>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</si>
  <si>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</si>
  <si>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</si>
  <si>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</si>
  <si>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</si>
  <si>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</si>
  <si>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</si>
  <si>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</si>
  <si>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</si>
  <si>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</si>
  <si>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</si>
  <si>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</si>
  <si>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</si>
  <si>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</si>
  <si>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</si>
  <si>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</si>
  <si>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</si>
  <si>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</si>
  <si>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</si>
  <si>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</si>
  <si>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</si>
  <si>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</si>
  <si>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</si>
  <si>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</si>
  <si>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</si>
  <si>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</si>
  <si>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</si>
  <si>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</si>
  <si>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</si>
  <si>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</si>
  <si>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</si>
  <si>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</si>
  <si>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</si>
  <si>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</si>
  <si>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</si>
  <si>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</si>
  <si>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</si>
  <si>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</si>
  <si>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</si>
  <si>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</si>
  <si>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</si>
  <si>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</si>
  <si>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</si>
  <si>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</si>
  <si>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</si>
  <si>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</si>
  <si>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</si>
  <si>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</si>
  <si>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</si>
  <si>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</si>
  <si>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</si>
  <si>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</si>
  <si>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</si>
  <si>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</si>
  <si>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</si>
  <si>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</si>
  <si>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</si>
  <si>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</si>
  <si>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</si>
  <si>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</si>
  <si>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</si>
  <si>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</si>
  <si>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</si>
  <si>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</si>
  <si>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</si>
  <si>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</si>
  <si>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</si>
  <si>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</si>
  <si>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</si>
  <si>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</si>
  <si>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</si>
  <si>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</si>
  <si>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</si>
  <si>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</si>
  <si>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</si>
  <si>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</si>
  <si>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</si>
  <si>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</si>
  <si>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</si>
  <si>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</si>
  <si>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</si>
  <si>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</si>
  <si>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</si>
  <si>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</si>
  <si>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</si>
  <si>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</si>
  <si>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</si>
  <si>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</si>
  <si>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</si>
  <si>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</si>
  <si>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</si>
  <si>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</si>
  <si>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</si>
  <si>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</si>
  <si>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</si>
  <si>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</si>
  <si>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</si>
  <si>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</si>
  <si>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</si>
  <si>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</si>
  <si>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</si>
  <si>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</si>
  <si>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</si>
  <si>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</si>
  <si>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</si>
  <si>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</si>
  <si>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</si>
  <si>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</si>
  <si>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</si>
  <si>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</si>
  <si>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</si>
  <si>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</si>
  <si>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</si>
  <si>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</si>
  <si>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</si>
  <si>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</si>
  <si>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</si>
  <si>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</si>
  <si>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</si>
  <si>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</si>
  <si>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</si>
  <si>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</si>
  <si>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</si>
  <si>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</si>
  <si>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</si>
  <si>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</si>
  <si>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</si>
  <si>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</si>
  <si>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</si>
  <si>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</si>
  <si>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</si>
  <si>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</si>
  <si>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</si>
  <si>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</si>
  <si>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</si>
  <si>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</si>
  <si>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</si>
  <si>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</si>
  <si>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</si>
  <si>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</si>
  <si>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</si>
  <si>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</si>
  <si>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</si>
  <si>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</si>
  <si>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</si>
  <si>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</si>
  <si>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</si>
  <si>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</si>
  <si>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</si>
  <si>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</si>
  <si>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</si>
  <si>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</si>
  <si>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</si>
  <si>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</si>
  <si>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</si>
  <si>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</si>
  <si>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</si>
  <si>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</si>
  <si>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</si>
  <si>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</si>
  <si>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</si>
  <si>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</si>
  <si>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</si>
  <si>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</si>
  <si>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</si>
  <si>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</si>
  <si>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</si>
  <si>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</si>
  <si>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</si>
  <si>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</si>
  <si>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</si>
  <si>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</si>
  <si>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</si>
  <si>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</si>
  <si>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</si>
  <si>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</si>
  <si>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</si>
  <si>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</si>
  <si>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</si>
  <si>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</si>
  <si>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</si>
  <si>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</si>
  <si>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</si>
  <si>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</si>
  <si>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</si>
  <si>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</si>
  <si>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</si>
  <si>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</si>
  <si>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</si>
  <si>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</si>
  <si>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</si>
  <si>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</si>
  <si>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</si>
  <si>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</si>
  <si>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</si>
  <si>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</si>
  <si>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</si>
  <si>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</si>
  <si>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</si>
  <si>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</si>
  <si>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</si>
  <si>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</si>
  <si>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</si>
  <si>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</si>
  <si>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</si>
  <si>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</si>
  <si>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</si>
  <si>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</si>
  <si>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</si>
  <si>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</si>
  <si>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</si>
  <si>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</si>
  <si>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</si>
  <si>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</si>
  <si>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</si>
  <si>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</si>
  <si>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</si>
  <si>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</si>
  <si>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</si>
  <si>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</si>
  <si>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</si>
  <si>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</si>
  <si>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</si>
  <si>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</si>
  <si>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</si>
  <si>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</si>
  <si>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</si>
  <si>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</si>
  <si>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</si>
  <si>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</si>
  <si>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</si>
  <si>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</si>
  <si>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</si>
  <si>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</si>
  <si>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</si>
  <si>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</si>
  <si>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</si>
  <si>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</si>
  <si>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</si>
  <si>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</si>
  <si>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</si>
  <si>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</si>
  <si>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</si>
  <si>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</si>
  <si>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</si>
  <si>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</si>
  <si>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</si>
  <si>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</si>
  <si>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</si>
  <si>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</si>
  <si>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</si>
  <si>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</si>
  <si>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</si>
  <si>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</si>
  <si>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</si>
  <si>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</si>
  <si>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</si>
  <si>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</si>
  <si>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</si>
  <si>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</si>
  <si>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</si>
  <si>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</si>
  <si>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</si>
  <si>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</si>
  <si>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</si>
  <si>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</si>
  <si>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</si>
  <si>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</si>
  <si>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</si>
  <si>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</si>
  <si>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</si>
  <si>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</si>
  <si>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</si>
  <si>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</si>
  <si>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</si>
  <si>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</si>
  <si>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</si>
  <si>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</si>
  <si>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</si>
  <si>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</si>
  <si>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</si>
  <si>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</si>
  <si>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</si>
  <si>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</si>
  <si>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</si>
  <si>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</si>
  <si>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</si>
  <si>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</si>
  <si>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</si>
  <si>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</si>
  <si>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</si>
  <si>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</si>
  <si>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</si>
  <si>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</si>
  <si>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</si>
  <si>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</si>
  <si>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</si>
  <si>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</si>
  <si>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</si>
  <si>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</si>
  <si>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</si>
  <si>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</si>
  <si>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</si>
  <si>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</si>
  <si>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</si>
  <si>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</si>
  <si>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</si>
  <si>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</si>
  <si>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</si>
  <si>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</si>
  <si>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</si>
  <si>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</si>
  <si>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</si>
  <si>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</si>
  <si>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</si>
  <si>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</si>
  <si>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</si>
  <si>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</si>
  <si>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</si>
  <si>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</si>
  <si>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</si>
  <si>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</si>
  <si>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</si>
  <si>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</si>
  <si>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</si>
  <si>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</si>
  <si>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</si>
  <si>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</si>
  <si>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</si>
  <si>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</si>
  <si>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</si>
  <si>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</si>
  <si>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</si>
  <si>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</si>
  <si>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</si>
  <si>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</si>
  <si>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</si>
  <si>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</si>
  <si>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</si>
  <si>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</si>
  <si>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</si>
  <si>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</si>
  <si>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</si>
  <si>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</si>
  <si>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</si>
  <si>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</si>
  <si>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</si>
  <si>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</si>
  <si>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</si>
  <si>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</si>
  <si>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</si>
  <si>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</si>
  <si>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</si>
  <si>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</si>
  <si>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</si>
  <si>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</si>
  <si>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</si>
  <si>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</si>
  <si>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</si>
  <si>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</si>
  <si>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</si>
  <si>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</si>
  <si>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</si>
  <si>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</si>
  <si>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</si>
  <si>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</si>
  <si>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</si>
  <si>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</si>
  <si>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</si>
  <si>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</si>
  <si>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</si>
  <si>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</si>
  <si>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</si>
  <si>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</si>
  <si>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</si>
  <si>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</si>
  <si>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</si>
  <si>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</si>
  <si>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</si>
  <si>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</si>
  <si>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</si>
  <si>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</si>
  <si>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</si>
  <si>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</si>
  <si>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</si>
  <si>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</si>
  <si>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</si>
  <si>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</si>
  <si>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</si>
  <si>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</si>
  <si>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</si>
  <si>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</si>
  <si>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</si>
  <si>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</si>
  <si>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</si>
  <si>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</si>
  <si>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</si>
  <si>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</si>
  <si>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</si>
  <si>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</si>
  <si>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</si>
  <si>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</si>
  <si>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</si>
  <si>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</si>
  <si>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</si>
  <si>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</si>
  <si>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</si>
  <si>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</si>
  <si>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</si>
  <si>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</si>
  <si>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</si>
  <si>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</si>
  <si>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</si>
  <si>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</si>
  <si>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</si>
  <si>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</si>
  <si>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</si>
  <si>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</si>
  <si>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</si>
  <si>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</si>
  <si>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</si>
  <si>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</si>
  <si>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</si>
  <si>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</si>
  <si>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</si>
  <si>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</si>
  <si>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</si>
  <si>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</si>
  <si>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</si>
  <si>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</si>
  <si>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</si>
  <si>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</si>
  <si>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</si>
  <si>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</si>
  <si>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</si>
  <si>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</si>
  <si>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</si>
  <si>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</si>
  <si>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</si>
  <si>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</si>
  <si>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</si>
  <si>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</si>
  <si>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</si>
  <si>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</si>
  <si>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</si>
  <si>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</si>
  <si>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</si>
  <si>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</si>
  <si>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</si>
  <si>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</si>
  <si>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</si>
  <si>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</si>
  <si>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</si>
  <si>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</si>
  <si>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</si>
  <si>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</si>
  <si>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</si>
  <si>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</si>
  <si>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</si>
  <si>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</si>
  <si>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</si>
  <si>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</si>
  <si>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</si>
  <si>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</si>
  <si>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</si>
  <si>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</si>
  <si>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</si>
  <si>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</si>
  <si>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</si>
  <si>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</si>
  <si>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</si>
  <si>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</si>
  <si>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</si>
  <si>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</si>
  <si>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</si>
  <si>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</si>
  <si>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</si>
  <si>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</si>
  <si>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</si>
  <si>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</si>
  <si>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</si>
  <si>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</si>
  <si>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</si>
  <si>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</si>
  <si>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</si>
  <si>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</si>
  <si>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</si>
  <si>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</si>
  <si>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</si>
  <si>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</si>
  <si>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</si>
  <si>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</si>
  <si>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</si>
  <si>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</si>
  <si>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</si>
  <si>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</si>
  <si>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</si>
  <si>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</si>
  <si>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</si>
  <si>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</si>
  <si>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</si>
  <si>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</si>
  <si>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</si>
  <si>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</si>
  <si>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</si>
  <si>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</si>
  <si>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</si>
  <si>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</si>
  <si>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</si>
  <si>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</si>
  <si>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</si>
  <si>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</si>
  <si>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</si>
  <si>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</si>
  <si>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</si>
  <si>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</si>
  <si>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</si>
  <si>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</si>
  <si>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</si>
  <si>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</si>
  <si>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</si>
  <si>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</si>
  <si>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</si>
  <si>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</si>
  <si>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</si>
  <si>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</si>
  <si>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</si>
  <si>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</si>
  <si>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</si>
  <si>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</si>
  <si>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</si>
  <si>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</si>
  <si>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</si>
  <si>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</si>
  <si>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</si>
  <si>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</si>
  <si>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</si>
  <si>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</si>
  <si>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</si>
  <si>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</si>
  <si>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</si>
  <si>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</si>
  <si>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</si>
  <si>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</si>
  <si>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</si>
  <si>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</si>
  <si>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</si>
  <si>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</si>
  <si>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</si>
  <si>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</si>
  <si>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</si>
  <si>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</si>
  <si>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</si>
  <si>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</si>
  <si>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</si>
  <si>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</si>
  <si>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</si>
  <si>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</si>
  <si>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</si>
  <si>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</si>
  <si>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</si>
  <si>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</si>
  <si>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</si>
  <si>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</si>
  <si>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</si>
  <si>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</si>
  <si>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</si>
  <si>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</si>
  <si>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</si>
  <si>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</si>
  <si>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</si>
  <si>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</si>
  <si>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</si>
  <si>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</si>
  <si>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</si>
  <si>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</si>
  <si>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</si>
  <si>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</si>
  <si>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</si>
  <si>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</si>
  <si>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</si>
  <si>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</si>
  <si>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</si>
  <si>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</si>
  <si>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</si>
  <si>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</si>
  <si>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</si>
  <si>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</si>
  <si>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</si>
  <si>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</si>
  <si>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</si>
  <si>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</si>
  <si>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</si>
  <si>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</si>
  <si>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</si>
  <si>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</si>
  <si>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</si>
  <si>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</si>
  <si>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</si>
  <si>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</si>
  <si>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</si>
  <si>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</si>
  <si>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</si>
  <si>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</si>
  <si>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</si>
  <si>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</si>
  <si>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</si>
  <si>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</si>
  <si>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</si>
  <si>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</si>
  <si>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</si>
  <si>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</si>
  <si>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</si>
  <si>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</si>
  <si>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</si>
  <si>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</si>
  <si>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</si>
  <si>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</si>
  <si>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</si>
  <si>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</si>
  <si>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</si>
  <si>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</si>
  <si>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</si>
  <si>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</si>
  <si>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</si>
  <si>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</si>
  <si>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</si>
  <si>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</si>
  <si>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</si>
  <si>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</si>
  <si>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</si>
  <si>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</si>
  <si>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</si>
  <si>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</si>
  <si>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</si>
  <si>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</si>
  <si>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</si>
  <si>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</si>
  <si>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</si>
  <si>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</si>
  <si>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</si>
  <si>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</si>
  <si>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</si>
  <si>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</si>
  <si>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</si>
  <si>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</si>
  <si>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</si>
  <si>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</si>
  <si>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</si>
  <si>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</si>
  <si>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</si>
  <si>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</si>
  <si>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</si>
  <si>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</si>
  <si>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</si>
  <si>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</si>
  <si>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</si>
  <si>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</si>
  <si>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</si>
  <si>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</si>
  <si>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</si>
  <si>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</si>
  <si>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</si>
  <si>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</si>
  <si>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</si>
  <si>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</si>
  <si>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</si>
  <si>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</si>
  <si>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</si>
  <si>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</si>
  <si>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</si>
  <si>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</si>
  <si>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</si>
  <si>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</si>
  <si>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</si>
  <si>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</si>
  <si>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</si>
  <si>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</si>
  <si>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</si>
  <si>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</si>
  <si>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</si>
  <si>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</si>
  <si>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</si>
  <si>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</si>
  <si>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</si>
  <si>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</si>
  <si>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</si>
  <si>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</si>
  <si>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</si>
  <si>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</si>
  <si>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</si>
  <si>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</si>
  <si>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</si>
  <si>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</si>
  <si>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</si>
  <si>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</si>
  <si>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</si>
  <si>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</si>
  <si>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</si>
  <si>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</si>
  <si>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</si>
  <si>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</si>
  <si>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</si>
  <si>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</si>
  <si>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</si>
  <si>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</si>
  <si>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</si>
  <si>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</si>
  <si>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</si>
  <si>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</si>
  <si>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</si>
  <si>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</si>
  <si>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</si>
  <si>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</si>
  <si>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</si>
  <si>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</si>
  <si>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</si>
  <si>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</si>
  <si>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</si>
  <si>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</si>
  <si>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</si>
  <si>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</si>
  <si>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</si>
  <si>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</si>
  <si>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</si>
  <si>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</si>
  <si>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</si>
  <si>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</si>
  <si>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</si>
  <si>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</si>
  <si>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</si>
  <si>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</si>
  <si>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</si>
  <si>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</si>
  <si>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</si>
  <si>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</si>
  <si>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</si>
  <si>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</si>
  <si>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</si>
  <si>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</si>
  <si>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</si>
  <si>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</si>
  <si>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</si>
  <si>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</si>
  <si>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</si>
  <si>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</si>
  <si>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</si>
  <si>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</si>
  <si>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</si>
  <si>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</si>
  <si>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</si>
  <si>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</si>
  <si>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</si>
  <si>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</si>
  <si>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</si>
  <si>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</si>
  <si>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</si>
  <si>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</si>
  <si>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</si>
  <si>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</si>
  <si>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</si>
  <si>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</si>
  <si>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</si>
  <si>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</si>
  <si>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</si>
  <si>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</si>
  <si>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</si>
  <si>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</si>
  <si>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</si>
  <si>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</si>
  <si>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</si>
  <si>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</si>
  <si>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</si>
  <si>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</si>
  <si>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</si>
  <si>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</si>
  <si>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</si>
  <si>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</si>
  <si>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</si>
  <si>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</si>
  <si>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</si>
  <si>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</si>
  <si>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</si>
  <si>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</si>
  <si>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</si>
  <si>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</si>
  <si>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</si>
  <si>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</si>
  <si>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</si>
  <si>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</si>
  <si>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</si>
  <si>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</si>
  <si>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</si>
  <si>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</si>
  <si>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</si>
  <si>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</si>
  <si>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</si>
  <si>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</si>
  <si>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</si>
  <si>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</si>
  <si>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</si>
  <si>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</si>
  <si>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</si>
  <si>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</si>
  <si>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</si>
  <si>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</si>
  <si>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</si>
  <si>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</si>
  <si>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</si>
  <si>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</si>
  <si>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</si>
  <si>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</si>
  <si>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</si>
  <si>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</si>
  <si>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</si>
  <si>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</si>
  <si>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</si>
  <si>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</si>
  <si>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</si>
  <si>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</si>
  <si>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</si>
  <si>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</si>
  <si>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</si>
  <si>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</si>
  <si>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</si>
  <si>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</si>
  <si>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</si>
  <si>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</si>
  <si>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</si>
  <si>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</si>
  <si>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</si>
  <si>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</si>
  <si>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</si>
  <si>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</si>
  <si>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</si>
  <si>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</si>
  <si>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</si>
  <si>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</si>
  <si>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</si>
  <si>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</si>
  <si>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</si>
  <si>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</si>
  <si>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</si>
  <si>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</si>
  <si>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</si>
  <si>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</si>
  <si>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</si>
  <si>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</si>
  <si>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</si>
  <si>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</si>
  <si>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</si>
  <si>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</si>
  <si>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</si>
  <si>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</si>
  <si>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</si>
  <si>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</si>
  <si>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</si>
  <si>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</si>
  <si>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</si>
  <si>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</si>
  <si>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</si>
  <si>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</si>
  <si>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</si>
  <si>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</si>
  <si>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</si>
  <si>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</si>
  <si>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</si>
  <si>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</si>
  <si>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</si>
  <si>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</si>
  <si>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</si>
  <si>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</si>
  <si>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</si>
  <si>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</si>
  <si>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</si>
  <si>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</si>
  <si>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</si>
  <si>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</si>
  <si>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</si>
  <si>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</si>
  <si>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</si>
  <si>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</si>
  <si>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</si>
  <si>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</si>
  <si>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</si>
  <si>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</si>
  <si>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</si>
  <si>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</si>
  <si>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</si>
  <si>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</si>
  <si>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</si>
  <si>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</si>
  <si>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</si>
  <si>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</si>
  <si>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</si>
  <si>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</si>
  <si>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</si>
  <si>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</si>
  <si>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</si>
  <si>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</si>
  <si>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</si>
  <si>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</si>
  <si>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</si>
  <si>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</si>
  <si>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</si>
  <si>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</si>
  <si>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</si>
  <si>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</si>
  <si>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</si>
  <si>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</si>
  <si>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</si>
  <si>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</si>
  <si>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</si>
  <si>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</si>
  <si>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</si>
  <si>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</si>
  <si>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</si>
  <si>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</si>
  <si>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</si>
  <si>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</si>
  <si>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</si>
  <si>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</si>
  <si>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</si>
  <si>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</si>
  <si>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</si>
  <si>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</si>
  <si>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</si>
  <si>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</si>
  <si>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</si>
  <si>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</si>
  <si>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</si>
  <si>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</si>
  <si>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</si>
  <si>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</si>
  <si>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</si>
  <si>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</si>
  <si>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</si>
  <si>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</si>
  <si>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</si>
  <si>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</si>
  <si>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</si>
  <si>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</si>
  <si>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</si>
  <si>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</si>
  <si>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</si>
  <si>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</si>
  <si>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</si>
  <si>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</si>
  <si>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</si>
  <si>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</si>
  <si>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</si>
  <si>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</si>
  <si>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</si>
  <si>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</si>
  <si>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</si>
  <si>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</si>
  <si>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</si>
  <si>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</si>
  <si>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</si>
  <si>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</si>
  <si>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</si>
  <si>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</si>
  <si>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</si>
  <si>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</si>
  <si>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</si>
  <si>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</si>
  <si>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</si>
  <si>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</si>
  <si>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</si>
  <si>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</si>
  <si>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</si>
  <si>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</si>
  <si>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</si>
  <si>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</si>
  <si>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</si>
  <si>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</si>
  <si>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</si>
  <si>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</si>
  <si>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</si>
  <si>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</si>
  <si>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</si>
  <si>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</si>
  <si>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</si>
  <si>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</si>
  <si>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</si>
  <si>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</si>
  <si>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</si>
  <si>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</si>
  <si>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</si>
  <si>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</si>
  <si>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</si>
  <si>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</si>
  <si>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</si>
  <si>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</si>
  <si>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</si>
  <si>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</si>
  <si>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</si>
  <si>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</si>
  <si>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</si>
  <si>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</si>
  <si>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</si>
  <si>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</si>
  <si>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</si>
  <si>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</si>
  <si>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</si>
  <si>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</si>
  <si>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</si>
  <si>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</si>
  <si>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</si>
  <si>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</si>
  <si>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</si>
  <si>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</si>
  <si>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</si>
  <si>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</si>
  <si>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</si>
  <si>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</si>
  <si>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</si>
  <si>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</si>
  <si>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</si>
  <si>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</si>
  <si>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</si>
  <si>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</si>
  <si>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</si>
  <si>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</si>
  <si>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</si>
  <si>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</si>
  <si>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</si>
  <si>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</si>
  <si>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</si>
  <si>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</si>
  <si>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</si>
  <si>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</si>
  <si>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</si>
  <si>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</si>
  <si>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</si>
  <si>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</si>
  <si>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</si>
  <si>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</si>
  <si>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</si>
  <si>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</si>
  <si>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</si>
  <si>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</si>
  <si>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</si>
  <si>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</si>
  <si>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</si>
  <si>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</si>
  <si>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</si>
  <si>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</si>
  <si>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</si>
  <si>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</si>
  <si>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</si>
  <si>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</si>
  <si>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</si>
  <si>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</si>
  <si>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</si>
  <si>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</si>
  <si>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</si>
  <si>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</si>
  <si>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</si>
  <si>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</si>
  <si>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</si>
  <si>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</si>
  <si>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</si>
  <si>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</si>
  <si>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</si>
  <si>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</si>
  <si>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</si>
  <si>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</si>
  <si>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</si>
  <si>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</si>
  <si>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</si>
  <si>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</si>
  <si>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</si>
  <si>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</si>
  <si>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</si>
  <si>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</si>
  <si>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</si>
  <si>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</si>
  <si>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</si>
  <si>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</si>
  <si>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</si>
  <si>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</si>
  <si>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</si>
  <si>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</si>
  <si>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</si>
  <si>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</si>
  <si>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</si>
  <si>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</si>
  <si>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</si>
  <si>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</si>
  <si>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</si>
  <si>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</si>
  <si>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</si>
  <si>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</si>
  <si>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</si>
  <si>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</si>
  <si>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</si>
  <si>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</si>
  <si>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</si>
  <si>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</si>
  <si>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</si>
  <si>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</si>
  <si>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</si>
  <si>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</si>
  <si>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</si>
  <si>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</si>
  <si>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</si>
  <si>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</si>
  <si>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</si>
  <si>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</si>
  <si>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</si>
  <si>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</si>
  <si>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</si>
  <si>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</si>
  <si>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</si>
  <si>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</si>
  <si>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</si>
  <si>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</si>
  <si>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</si>
  <si>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</si>
  <si>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</si>
  <si>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</si>
  <si>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</si>
  <si>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</si>
  <si>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</si>
  <si>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</si>
  <si>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</si>
  <si>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</si>
  <si>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</si>
  <si>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</si>
  <si>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</si>
  <si>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</si>
  <si>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</si>
  <si>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</si>
  <si>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</si>
  <si>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</si>
  <si>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</si>
  <si>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</si>
  <si>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</si>
  <si>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</si>
  <si>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</si>
  <si>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</si>
  <si>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</si>
  <si>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</si>
  <si>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</si>
  <si>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</si>
  <si>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</si>
  <si>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</si>
  <si>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</si>
  <si>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</si>
  <si>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</si>
  <si>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</si>
  <si>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</si>
  <si>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</si>
  <si>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</si>
  <si>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</si>
  <si>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</si>
  <si>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</si>
  <si>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</si>
  <si>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</si>
  <si>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</si>
  <si>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</si>
  <si>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</si>
  <si>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</si>
  <si>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</si>
  <si>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</si>
  <si>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</si>
  <si>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</si>
  <si>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</si>
  <si>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</si>
  <si>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</si>
  <si>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</si>
  <si>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</si>
  <si>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</si>
  <si>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</si>
  <si>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</si>
  <si>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</si>
  <si>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</si>
  <si>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</si>
  <si>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</si>
  <si>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</si>
  <si>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</si>
  <si>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</si>
  <si>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</si>
  <si>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</si>
  <si>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</si>
  <si>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</si>
  <si>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</si>
  <si>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</si>
  <si>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</si>
  <si>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</si>
  <si>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</si>
  <si>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</si>
  <si>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</si>
  <si>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</si>
  <si>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</si>
  <si>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</si>
  <si>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</si>
  <si>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</si>
  <si>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</si>
  <si>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</si>
  <si>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</si>
  <si>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</si>
  <si>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</si>
  <si>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</si>
  <si>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</si>
  <si>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</si>
  <si>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</si>
  <si>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</si>
  <si>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</si>
  <si>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</si>
  <si>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</si>
  <si>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</si>
  <si>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</si>
  <si>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</si>
  <si>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</si>
  <si>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</si>
  <si>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</si>
  <si>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</si>
  <si>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</si>
  <si>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</si>
  <si>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</si>
  <si>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</si>
  <si>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</si>
  <si>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</si>
  <si>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</si>
  <si>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</si>
  <si>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</si>
  <si>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</si>
  <si>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</si>
  <si>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</si>
  <si>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</si>
  <si>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</si>
  <si>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</si>
  <si>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</si>
  <si>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</si>
  <si>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</si>
  <si>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</si>
  <si>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</si>
  <si>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</si>
  <si>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</si>
  <si>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</si>
  <si>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</si>
  <si>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</si>
  <si>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</si>
  <si>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</si>
  <si>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</si>
  <si>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</si>
  <si>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</si>
  <si>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</si>
  <si>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</si>
  <si>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</si>
  <si>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</si>
  <si>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</si>
  <si>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</si>
  <si>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</si>
  <si>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</si>
  <si>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</si>
  <si>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</si>
  <si>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</si>
  <si>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</si>
  <si>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</si>
  <si>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</si>
  <si>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</si>
  <si>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</si>
  <si>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</si>
  <si>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</si>
  <si>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</si>
  <si>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</si>
  <si>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</si>
  <si>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</si>
  <si>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</si>
  <si>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</si>
  <si>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</si>
  <si>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</si>
  <si>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</si>
  <si>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</si>
  <si>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</si>
  <si>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</si>
  <si>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</si>
  <si>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</si>
  <si>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</si>
  <si>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</si>
  <si>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</si>
  <si>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</si>
  <si>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</si>
  <si>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</si>
  <si>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</si>
  <si>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</si>
  <si>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</si>
  <si>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</si>
  <si>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</si>
  <si>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</si>
  <si>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</si>
  <si>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</si>
  <si>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</si>
  <si>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</si>
  <si>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</si>
  <si>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</si>
  <si>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</si>
  <si>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</si>
  <si>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</si>
  <si>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</si>
  <si>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</si>
  <si>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</si>
  <si>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</si>
  <si>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</si>
  <si>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</si>
  <si>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</si>
  <si>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</si>
  <si>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</si>
  <si>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</si>
  <si>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</si>
  <si>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</si>
  <si>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</si>
  <si>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</si>
  <si>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</si>
  <si>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</si>
  <si>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</si>
  <si>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</si>
  <si>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</si>
  <si>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</si>
  <si>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</si>
  <si>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</si>
  <si>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</si>
  <si>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</si>
  <si>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</si>
  <si>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</si>
  <si>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</si>
  <si>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</si>
  <si>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</si>
  <si>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</si>
  <si>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</si>
  <si>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</si>
  <si>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</si>
  <si>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</si>
  <si>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</si>
  <si>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</si>
  <si>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</si>
  <si>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</si>
  <si>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</si>
  <si>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</si>
  <si>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</si>
  <si>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</si>
  <si>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</si>
  <si>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</si>
  <si>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</si>
  <si>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</si>
  <si>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</si>
  <si>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</si>
  <si>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</si>
  <si>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</si>
  <si>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</si>
  <si>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</si>
  <si>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</si>
  <si>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</si>
  <si>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</si>
  <si>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</si>
  <si>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</si>
  <si>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</si>
  <si>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</si>
  <si>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</si>
  <si>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</si>
  <si>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</si>
  <si>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</si>
  <si>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</si>
  <si>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</si>
  <si>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</si>
  <si>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</si>
  <si>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</si>
  <si>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</si>
  <si>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</si>
  <si>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</si>
  <si>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</si>
  <si>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</si>
  <si>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</si>
  <si>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</si>
  <si>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</si>
  <si>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</si>
  <si>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</si>
  <si>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</si>
  <si>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</si>
  <si>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</si>
  <si>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</si>
  <si>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</si>
  <si>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</si>
  <si>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</si>
  <si>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</si>
  <si>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</si>
  <si>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</si>
  <si>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</si>
  <si>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</si>
  <si>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</si>
  <si>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</si>
  <si>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</si>
  <si>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</si>
  <si>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</si>
  <si>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</si>
  <si>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</si>
  <si>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</si>
  <si>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</si>
  <si>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</si>
  <si>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</si>
  <si>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</si>
  <si>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</si>
  <si>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</si>
  <si>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</si>
  <si>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</si>
  <si>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</si>
  <si>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</si>
  <si>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</si>
  <si>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</si>
  <si>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</si>
  <si>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</si>
  <si>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</si>
  <si>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</si>
  <si>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</si>
  <si>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</si>
  <si>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</si>
  <si>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</si>
  <si>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</si>
  <si>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</si>
  <si>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</si>
  <si>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</si>
  <si>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</si>
  <si>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</si>
  <si>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</si>
  <si>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</si>
  <si>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</si>
  <si>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</si>
  <si>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</si>
  <si>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</si>
  <si>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</si>
  <si>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</si>
  <si>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</si>
  <si>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</si>
  <si>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</si>
  <si>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</si>
  <si>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</si>
  <si>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</si>
  <si>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</si>
  <si>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</si>
  <si>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</si>
  <si>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</si>
  <si>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</si>
  <si>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</si>
  <si>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</si>
  <si>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</si>
  <si>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</si>
  <si>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</si>
  <si>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</si>
  <si>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</si>
  <si>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</si>
  <si>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</si>
  <si>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</si>
  <si>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</si>
  <si>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</si>
  <si>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</si>
  <si>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</si>
  <si>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</si>
  <si>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</si>
  <si>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</si>
  <si>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</si>
  <si>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</si>
  <si>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</si>
  <si>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</si>
  <si>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</si>
  <si>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</si>
  <si>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</si>
  <si>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</si>
  <si>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</si>
  <si>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</si>
  <si>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</si>
  <si>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</si>
  <si>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</si>
  <si>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</si>
  <si>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</si>
  <si>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</si>
  <si>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</si>
  <si>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</si>
  <si>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</si>
  <si>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</si>
  <si>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</si>
  <si>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</si>
  <si>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</si>
  <si>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</si>
  <si>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</si>
  <si>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</si>
  <si>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</si>
  <si>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</si>
  <si>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</si>
  <si>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</si>
  <si>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</si>
  <si>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</si>
  <si>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</si>
  <si>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</si>
  <si>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</si>
  <si>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</si>
  <si>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</si>
  <si>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</si>
  <si>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</si>
  <si>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</si>
  <si>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</si>
  <si>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</si>
  <si>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</si>
  <si>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</si>
  <si>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</si>
  <si>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</si>
  <si>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</si>
  <si>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</si>
  <si>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</si>
  <si>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</si>
  <si>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</si>
  <si>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</si>
  <si>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</si>
  <si>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</si>
  <si>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</si>
  <si>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</si>
  <si>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</si>
  <si>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</si>
  <si>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</si>
  <si>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</si>
  <si>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</si>
  <si>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</si>
  <si>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</si>
  <si>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</si>
  <si>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</si>
  <si>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</si>
  <si>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</si>
  <si>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</si>
  <si>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</si>
  <si>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</si>
  <si>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</si>
  <si>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</si>
  <si>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</si>
  <si>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</si>
  <si>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</si>
  <si>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</si>
  <si>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</si>
  <si>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</si>
  <si>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</si>
  <si>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</si>
  <si>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</si>
  <si>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</si>
  <si>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</si>
  <si>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</si>
  <si>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</si>
  <si>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</si>
  <si>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</si>
  <si>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</si>
  <si>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</si>
  <si>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</si>
  <si>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</si>
  <si>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</si>
  <si>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</si>
  <si>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</si>
  <si>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</si>
  <si>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</si>
  <si>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</si>
  <si>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</si>
  <si>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</si>
  <si>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</si>
  <si>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</si>
  <si>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</si>
  <si>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</si>
  <si>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</si>
  <si>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</si>
  <si>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</si>
  <si>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</si>
  <si>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</si>
  <si>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</si>
  <si>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</si>
  <si>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</si>
  <si>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</si>
  <si>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</si>
  <si>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</si>
  <si>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</si>
  <si>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</si>
  <si>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</si>
  <si>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</si>
  <si>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</si>
  <si>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</si>
  <si>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</si>
  <si>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</si>
  <si>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</si>
  <si>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</si>
  <si>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</si>
  <si>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</si>
  <si>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</si>
  <si>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</si>
  <si>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</si>
  <si>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</si>
  <si>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</si>
  <si>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</si>
  <si>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</si>
  <si>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</si>
  <si>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</si>
  <si>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</si>
  <si>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</si>
  <si>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</si>
  <si>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</si>
  <si>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</si>
  <si>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</si>
  <si>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</si>
  <si>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</si>
  <si>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</si>
  <si>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</si>
  <si>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</si>
  <si>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</si>
  <si>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</si>
  <si>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</si>
  <si>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</si>
  <si>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</si>
  <si>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</si>
  <si>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</si>
  <si>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</si>
  <si>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</si>
  <si>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</si>
  <si>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</si>
  <si>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</si>
  <si>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</si>
  <si>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</si>
  <si>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</si>
  <si>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</si>
  <si>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</si>
  <si>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</si>
  <si>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</si>
  <si>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</si>
  <si>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</si>
  <si>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</si>
  <si>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</si>
  <si>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</si>
  <si>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</si>
  <si>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</si>
  <si>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</si>
  <si>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</si>
  <si>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</si>
  <si>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</si>
  <si>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</si>
  <si>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</si>
  <si>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</si>
  <si>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</si>
  <si>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</si>
  <si>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</si>
  <si>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</si>
  <si>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</si>
  <si>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</si>
  <si>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</si>
  <si>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</si>
  <si>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</si>
  <si>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</si>
  <si>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</si>
  <si>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</si>
  <si>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</si>
  <si>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</si>
  <si>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</si>
  <si>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</si>
  <si>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</si>
  <si>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</si>
  <si>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</si>
  <si>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</si>
  <si>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</si>
  <si>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</si>
  <si>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</si>
  <si>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</si>
  <si>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</si>
  <si>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</si>
  <si>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</si>
  <si>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</si>
  <si>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</si>
  <si>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</si>
  <si>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</si>
  <si>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</si>
  <si>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</si>
  <si>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</si>
  <si>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</si>
  <si>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</si>
  <si>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</si>
  <si>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</si>
  <si>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</si>
  <si>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</si>
  <si>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</si>
  <si>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</si>
  <si>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</si>
  <si>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</si>
  <si>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</si>
  <si>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</si>
  <si>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</si>
  <si>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</si>
  <si>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</si>
  <si>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</si>
  <si>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</si>
  <si>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</si>
  <si>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</si>
  <si>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</si>
  <si>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</si>
  <si>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</si>
  <si>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</si>
  <si>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</si>
  <si>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</si>
  <si>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</si>
  <si>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</si>
  <si>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</si>
  <si>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</si>
  <si>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</si>
  <si>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</si>
  <si>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</si>
  <si>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</si>
  <si>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</si>
  <si>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</si>
  <si>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</si>
  <si>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</si>
  <si>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</si>
  <si>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</si>
  <si>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</si>
  <si>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</si>
  <si>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</si>
  <si>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</si>
  <si>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</si>
  <si>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</si>
  <si>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</si>
  <si>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</si>
  <si>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</si>
  <si>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</si>
  <si>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</si>
  <si>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</si>
  <si>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</si>
  <si>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</si>
  <si>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</si>
  <si>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</si>
  <si>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</si>
  <si>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</si>
  <si>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</si>
  <si>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</si>
  <si>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</si>
  <si>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</si>
  <si>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</si>
  <si>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</si>
  <si>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</si>
  <si>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</si>
  <si>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</si>
  <si>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</si>
  <si>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</si>
  <si>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</si>
  <si>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</si>
  <si>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</si>
  <si>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</si>
  <si>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</si>
  <si>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</si>
  <si>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</si>
  <si>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</si>
  <si>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</si>
  <si>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</si>
  <si>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</si>
  <si>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</si>
  <si>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</si>
  <si>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</si>
  <si>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</si>
  <si>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</si>
  <si>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</si>
  <si>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</si>
  <si>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</si>
  <si>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</si>
  <si>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</si>
  <si>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</si>
  <si>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</si>
  <si>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</si>
  <si>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</si>
  <si>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</si>
  <si>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</si>
  <si>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</si>
  <si>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</si>
  <si>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</si>
  <si>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</si>
  <si>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</si>
  <si>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</si>
  <si>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</si>
  <si>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</si>
  <si>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</si>
  <si>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</si>
  <si>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</si>
  <si>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</si>
  <si>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</si>
  <si>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</si>
  <si>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</si>
  <si>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</si>
  <si>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</si>
  <si>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</si>
  <si>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</si>
  <si>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</si>
  <si>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</si>
  <si>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</si>
  <si>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</si>
  <si>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</si>
  <si>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</si>
  <si>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</si>
  <si>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</si>
  <si>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</si>
  <si>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</si>
  <si>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</si>
  <si>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</si>
  <si>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</si>
  <si>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</si>
  <si>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</si>
  <si>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</si>
  <si>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</si>
  <si>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</si>
  <si>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</si>
  <si>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</si>
  <si>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</si>
  <si>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</si>
  <si>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</si>
  <si>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</si>
  <si>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</si>
  <si>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</si>
  <si>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</si>
  <si>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</si>
  <si>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</si>
  <si>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</si>
  <si>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</si>
  <si>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</si>
  <si>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</si>
  <si>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</si>
  <si>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</si>
  <si>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</si>
  <si>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</si>
  <si>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</si>
  <si>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</si>
  <si>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</si>
  <si>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</si>
  <si>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</si>
  <si>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</si>
  <si>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</si>
  <si>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</si>
  <si>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</si>
  <si>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</si>
  <si>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</si>
  <si>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</si>
  <si>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</si>
  <si>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</si>
  <si>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</si>
  <si>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</si>
  <si>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</si>
  <si>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</si>
  <si>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</si>
  <si>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</si>
  <si>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</si>
  <si>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</si>
  <si>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</si>
  <si>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</si>
  <si>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</si>
  <si>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</si>
  <si>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</si>
  <si>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</si>
  <si>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</si>
  <si>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</si>
  <si>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</si>
  <si>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</si>
  <si>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</si>
  <si>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</si>
  <si>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</si>
  <si>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</si>
  <si>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</si>
  <si>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</si>
  <si>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</si>
  <si>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</si>
  <si>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</si>
  <si>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</si>
  <si>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</si>
  <si>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</si>
  <si>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</si>
  <si>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</si>
  <si>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</si>
  <si>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</si>
  <si>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</si>
  <si>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</si>
  <si>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</si>
  <si>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</si>
  <si>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</si>
  <si>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</si>
  <si>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</si>
  <si>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</si>
  <si>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</si>
  <si>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</si>
  <si>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</si>
  <si>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</si>
  <si>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</si>
  <si>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</si>
  <si>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</si>
  <si>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</si>
  <si>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</si>
  <si>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</si>
  <si>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</si>
  <si>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</si>
  <si>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</si>
  <si>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</si>
  <si>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</si>
  <si>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</si>
  <si>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</si>
  <si>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</si>
  <si>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</si>
  <si>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</si>
  <si>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</si>
  <si>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</si>
  <si>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</si>
  <si>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</si>
  <si>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</si>
  <si>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</si>
  <si>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</si>
  <si>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</si>
  <si>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</si>
  <si>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</si>
  <si>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</si>
  <si>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</si>
  <si>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</si>
  <si>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</si>
  <si>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</si>
  <si>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</si>
  <si>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</si>
  <si>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</si>
  <si>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</si>
  <si>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</si>
  <si>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</si>
  <si>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</si>
  <si>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</si>
  <si>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</si>
  <si>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</si>
  <si>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</si>
  <si>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</si>
  <si>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</si>
  <si>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</si>
  <si>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</si>
  <si>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</si>
  <si>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</si>
  <si>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</si>
  <si>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</si>
  <si>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</si>
  <si>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</si>
  <si>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</si>
  <si>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</si>
  <si>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</si>
  <si>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</si>
  <si>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</si>
  <si>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</si>
  <si>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</si>
  <si>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</si>
  <si>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</si>
  <si>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</si>
  <si>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</si>
  <si>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</si>
  <si>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</si>
  <si>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</si>
  <si>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</si>
  <si>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</si>
  <si>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</si>
  <si>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</si>
  <si>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</si>
  <si>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</si>
  <si>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</si>
  <si>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</si>
  <si>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</si>
  <si>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</si>
  <si>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</si>
  <si>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</si>
  <si>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</si>
  <si>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</si>
  <si>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新細明體"/>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</si>
  <si>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</si>
  <si>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</si>
  <si>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</si>
  <si>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</si>
  <si>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</si>
  <si>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</si>
  <si>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</si>
  <si>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</si>
  <si>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</si>
  <si>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</si>
  <si>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</si>
  <si>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</si>
  <si>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</si>
  <si>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</si>
  <si>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</si>
  <si>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</si>
  <si>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</si>
  <si>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</si>
  <si>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</si>
  <si>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</si>
  <si>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</si>
  <si>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</si>
  <si>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</si>
  <si>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</si>
  <si>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</si>
  <si>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</si>
  <si>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</si>
  <si>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</si>
  <si>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</si>
  <si>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</si>
  <si>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</si>
  <si>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</si>
  <si>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</si>
  <si>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</si>
  <si>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</si>
  <si>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</si>
  <si>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</si>
  <si>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</si>
  <si>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</si>
  <si>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</si>
  <si>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</si>
  <si>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</si>
  <si>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</si>
  <si>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</si>
  <si>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</si>
  <si>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</si>
  <si>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</si>
  <si>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</si>
  <si>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</si>
  <si>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</si>
  <si>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</si>
  <si>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</si>
  <si>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</si>
  <si>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</si>
  <si>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</si>
  <si>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</si>
  <si>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</si>
  <si>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</si>
  <si>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</si>
  <si>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</si>
  <si>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</si>
  <si>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</si>
  <si>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</si>
  <si>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</si>
  <si>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</si>
  <si>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</si>
  <si>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</si>
  <si>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</si>
  <si>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</si>
  <si>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</si>
  <si>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</si>
  <si>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</si>
  <si>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</si>
  <si>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</si>
  <si>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</si>
  <si>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</si>
  <si>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</si>
  <si>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</si>
  <si>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</si>
  <si>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</si>
  <si>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</si>
  <si>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</si>
  <si>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</si>
  <si>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</si>
  <si>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</si>
  <si>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</si>
  <si>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</si>
  <si>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</si>
  <si>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</si>
  <si>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</si>
  <si>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</si>
  <si>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</si>
  <si>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</si>
  <si>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</si>
  <si>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</si>
  <si>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</si>
  <si>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</si>
  <si>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</si>
  <si>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</si>
  <si>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</si>
  <si>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</si>
  <si>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</si>
  <si>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</si>
  <si>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</si>
  <si>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</si>
  <si>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</si>
  <si>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</si>
  <si>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</si>
  <si>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</si>
  <si>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</si>
  <si>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</si>
  <si>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</si>
  <si>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</si>
  <si>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</si>
  <si>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</si>
  <si>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</si>
  <si>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</si>
  <si>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</si>
  <si>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</si>
  <si>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</si>
  <si>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</si>
  <si>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</si>
  <si>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</si>
  <si>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</si>
  <si>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</si>
  <si>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</si>
  <si>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</si>
  <si>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</si>
  <si>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</si>
  <si>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</si>
  <si>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</si>
  <si>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</si>
  <si>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</si>
  <si>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</si>
  <si>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</si>
  <si>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</si>
  <si>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</si>
  <si>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</si>
  <si>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</si>
  <si>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</si>
  <si>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</si>
  <si>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</si>
  <si>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</si>
  <si>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</si>
  <si>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</si>
  <si>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</si>
  <si>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</si>
  <si>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</si>
  <si>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</si>
  <si>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</si>
  <si>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</si>
  <si>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</si>
  <si>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</si>
  <si>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</si>
  <si>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</si>
  <si>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</si>
  <si>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</si>
  <si>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</si>
  <si>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</si>
  <si>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</si>
  <si>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</si>
  <si>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</si>
  <si>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</si>
  <si>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</si>
  <si>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</si>
  <si>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</si>
  <si>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</si>
  <si>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</si>
  <si>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</si>
  <si>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</si>
  <si>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</si>
  <si>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</si>
  <si>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</si>
  <si>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</si>
  <si>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</si>
  <si>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</si>
  <si>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</si>
  <si>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</si>
  <si>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</si>
  <si>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</si>
  <si>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</si>
  <si>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</si>
  <si>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</si>
  <si>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</si>
  <si>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</si>
  <si>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</si>
  <si>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</si>
  <si>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</si>
  <si>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</si>
  <si>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</si>
  <si>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</si>
  <si>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</si>
  <si>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</si>
  <si>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</si>
  <si>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</si>
  <si>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</si>
  <si>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</si>
  <si>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</si>
  <si>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</si>
  <si>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</si>
  <si>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</si>
  <si>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</si>
  <si>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</si>
  <si>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</si>
  <si>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</si>
  <si>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</si>
  <si>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</si>
  <si>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</si>
  <si>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</si>
  <si>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</si>
  <si>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</si>
  <si>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</si>
  <si>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</si>
  <si>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</si>
  <si>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</si>
  <si>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</si>
  <si>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</si>
  <si>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</si>
  <si>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</si>
  <si>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</si>
  <si>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</si>
  <si>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</si>
  <si>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</si>
  <si>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</si>
  <si>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</si>
  <si>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</si>
  <si>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</si>
  <si>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</si>
  <si>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</si>
  <si>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</si>
  <si>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</si>
  <si>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</si>
  <si>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</si>
  <si>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</si>
  <si>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</si>
  <si>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</si>
  <si>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</si>
  <si>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</si>
  <si>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</si>
  <si>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</si>
  <si>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</si>
  <si>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</si>
  <si>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</si>
  <si>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</si>
  <si>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</si>
  <si>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</si>
  <si>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</si>
  <si>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</si>
  <si>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</si>
  <si>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</si>
  <si>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</si>
  <si>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</si>
  <si>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</si>
  <si>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</si>
  <si>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</si>
  <si>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</si>
  <si>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</si>
  <si>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</si>
  <si>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</si>
  <si>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</si>
  <si>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</si>
  <si>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</si>
  <si>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</si>
  <si>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</si>
  <si>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</si>
  <si>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</si>
  <si>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</si>
  <si>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</si>
  <si>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</si>
  <si>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</si>
  <si>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</si>
  <si>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</si>
  <si>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</si>
  <si>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</si>
  <si>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</si>
  <si>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</si>
  <si>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</si>
  <si>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</si>
  <si>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</si>
  <si>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</si>
  <si>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</si>
  <si>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</si>
  <si>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</si>
  <si>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</si>
  <si>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</si>
  <si>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</si>
  <si>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</si>
  <si>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</si>
  <si>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</si>
  <si>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</si>
  <si>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</si>
  <si>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</si>
  <si>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</si>
  <si>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</si>
  <si>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</si>
  <si>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</si>
  <si>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</si>
  <si>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</si>
  <si>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</si>
  <si>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</si>
  <si>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</si>
  <si>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</si>
  <si>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</si>
  <si>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</si>
  <si>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</si>
  <si>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</si>
  <si>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</si>
  <si>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</si>
  <si>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</si>
  <si>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</si>
  <si>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</si>
  <si>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</si>
  <si>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</si>
  <si>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</si>
  <si>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</si>
  <si>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</si>
  <si>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</si>
  <si>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</si>
  <si>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</si>
  <si>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</si>
  <si>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</si>
  <si>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</si>
  <si>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</si>
  <si>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</si>
  <si>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</si>
  <si>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</si>
  <si>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</si>
  <si>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</si>
  <si>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</si>
  <si>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</si>
  <si>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</si>
  <si>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</si>
  <si>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</si>
  <si>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</si>
  <si>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</si>
  <si>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</si>
  <si>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</si>
  <si>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</si>
  <si>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</si>
  <si>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</si>
  <si>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</si>
  <si>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</si>
  <si>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</si>
  <si>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</si>
  <si>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</si>
  <si>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</si>
  <si>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</si>
  <si>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</si>
  <si>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</si>
  <si>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</si>
  <si>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</si>
  <si>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</si>
  <si>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</si>
  <si>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</si>
  <si>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</si>
  <si>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</si>
  <si>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</si>
  <si>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</si>
  <si>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</si>
  <si>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</si>
  <si>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</si>
  <si>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</si>
  <si>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</si>
  <si>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</si>
  <si>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</si>
  <si>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</si>
  <si>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</si>
  <si>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</si>
  <si>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</si>
  <si>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</si>
  <si>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</si>
  <si>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</si>
  <si>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</si>
  <si>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</si>
  <si>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</si>
  <si>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</si>
  <si>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</si>
  <si>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</si>
  <si>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</si>
  <si>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</si>
  <si>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</si>
  <si>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</si>
  <si>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</si>
  <si>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</si>
  <si>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</si>
  <si>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</si>
  <si>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</si>
  <si>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</si>
  <si>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</si>
  <si>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</si>
  <si>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</si>
  <si>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</si>
  <si>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</si>
  <si>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</si>
  <si>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</si>
  <si>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</si>
  <si>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</si>
  <si>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</si>
  <si>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</si>
  <si>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</si>
  <si>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</si>
  <si>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</si>
  <si>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</si>
  <si>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</si>
  <si>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</si>
  <si>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</si>
  <si>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</si>
  <si>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</si>
  <si>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</si>
  <si>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</si>
  <si>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</si>
  <si>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</si>
  <si>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</si>
  <si>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</si>
  <si>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</si>
  <si>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</si>
  <si>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</si>
  <si>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</si>
  <si>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</si>
  <si>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</si>
  <si>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</si>
  <si>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</si>
  <si>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</si>
  <si>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</si>
  <si>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</si>
  <si>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</si>
  <si>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</si>
  <si>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</si>
  <si>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</si>
  <si>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</si>
  <si>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</si>
  <si>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</si>
  <si>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</si>
  <si>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</si>
  <si>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</si>
  <si>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</si>
  <si>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</si>
  <si>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</si>
  <si>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</si>
  <si>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</si>
  <si>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</si>
  <si>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</si>
  <si>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</si>
  <si>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</si>
  <si>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</si>
  <si>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</si>
  <si>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</si>
  <si>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</si>
  <si>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</si>
  <si>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</si>
  <si>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</si>
  <si>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</si>
  <si>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</si>
  <si>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</si>
  <si>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</si>
  <si>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</si>
  <si>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</si>
  <si>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</si>
  <si>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</si>
  <si>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</si>
  <si>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</si>
  <si>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</si>
  <si>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</si>
  <si>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</si>
  <si>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</si>
  <si>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</si>
  <si>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</si>
  <si>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</si>
  <si>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</si>
  <si>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</si>
  <si>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</si>
  <si>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</si>
  <si>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</si>
  <si>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</si>
  <si>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</si>
  <si>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</si>
  <si>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</si>
  <si>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</si>
  <si>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</si>
  <si>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</si>
  <si>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</si>
  <si>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</si>
  <si>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</si>
  <si>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</si>
  <si>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</si>
  <si>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</si>
  <si>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</si>
  <si>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</si>
  <si>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</si>
  <si>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</si>
  <si>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</si>
  <si>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</si>
  <si>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</si>
  <si>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</si>
  <si>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</si>
  <si>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</si>
  <si>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</si>
  <si>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</si>
  <si>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</si>
  <si>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</si>
  <si>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</si>
  <si>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</si>
  <si>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</si>
  <si>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</si>
  <si>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</si>
  <si>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</si>
  <si>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</si>
  <si>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</si>
  <si>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</si>
  <si>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</si>
  <si>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</si>
  <si>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</si>
  <si>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</si>
  <si>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</si>
  <si>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</si>
  <si>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</si>
  <si>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</si>
  <si>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</si>
  <si>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</si>
  <si>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</si>
  <si>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</si>
  <si>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</si>
  <si>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</si>
  <si>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</si>
  <si>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</si>
  <si>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</si>
  <si>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</si>
  <si>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</si>
  <si>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</si>
  <si>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</si>
  <si>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</si>
  <si>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</si>
  <si>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</si>
  <si>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</si>
  <si>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</si>
  <si>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</si>
  <si>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</si>
  <si>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</si>
  <si>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</si>
  <si>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</si>
  <si>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</si>
  <si>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</si>
  <si>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</si>
  <si>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</si>
  <si>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</si>
  <si>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</si>
  <si>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</si>
  <si>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</si>
  <si>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</si>
  <si>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</si>
  <si>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</si>
  <si>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</si>
  <si>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</si>
  <si>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</si>
  <si>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</si>
  <si>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</si>
  <si>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</si>
  <si>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</si>
  <si>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</si>
  <si>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</si>
  <si>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</si>
  <si>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</si>
  <si>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</si>
  <si>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</si>
  <si>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</si>
  <si>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</si>
  <si>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</si>
  <si>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</si>
  <si>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</si>
  <si>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</si>
  <si>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</si>
  <si>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</si>
  <si>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</si>
  <si>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</si>
  <si>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</si>
  <si>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</si>
  <si>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</si>
  <si>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</si>
  <si>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</si>
  <si>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</si>
  <si>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</si>
  <si>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</si>
  <si>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</si>
  <si>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</si>
  <si>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</si>
  <si>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</si>
  <si>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</si>
  <si>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</si>
  <si>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</si>
  <si>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</si>
  <si>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</si>
  <si>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</si>
  <si>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</si>
  <si>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</si>
  <si>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</si>
  <si>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</si>
  <si>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</si>
  <si>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</si>
  <si>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</si>
  <si>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</si>
  <si>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</si>
  <si>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</si>
  <si>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</si>
  <si>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</si>
  <si>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</si>
  <si>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</si>
  <si>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</si>
  <si>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</si>
  <si>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</si>
  <si>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</si>
  <si>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</si>
  <si>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</si>
  <si>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</si>
  <si>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</si>
  <si>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</si>
  <si>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</si>
  <si>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</si>
  <si>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</si>
  <si>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</si>
  <si>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</si>
  <si>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</si>
  <si>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</si>
  <si>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</si>
  <si>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</si>
  <si>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</si>
  <si>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</si>
  <si>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</si>
  <si>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</si>
  <si>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</si>
  <si>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</si>
  <si>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</si>
  <si>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</si>
  <si>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</si>
  <si>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</si>
  <si>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</si>
  <si>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</si>
  <si>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</si>
  <si>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</si>
  <si>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</si>
  <si>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</si>
  <si>
    <t>Smelter Not Yet Identified</t>
  </si>
  <si>
    <t>False</t>
  </si>
  <si>
    <t>Unknow</t>
  </si>
  <si>
    <t>Graziella Gagliardi</t>
  </si>
  <si>
    <t>graziella.gagliardi@8853.it</t>
  </si>
  <si>
    <t>Conformant-audited by RMI (members / partners)- valid until 05/30/2023</t>
  </si>
  <si>
    <t>Not disclosed by supplier</t>
  </si>
  <si>
    <t>Mineral sourcing not disclosed by RJC</t>
  </si>
  <si>
    <t>CFSI</t>
  </si>
  <si>
    <t>Compliant</t>
  </si>
  <si>
    <t>Recycled,Unknow</t>
  </si>
  <si>
    <t>Lauren Faella</t>
  </si>
  <si>
    <t>lfaella@adchem.com</t>
  </si>
  <si>
    <t>Conformant- Reaudit In Progress</t>
  </si>
  <si>
    <t>Some are recycled or scrap sourced but not all.</t>
  </si>
  <si>
    <t>Mineral sourcing LR,R/S</t>
  </si>
  <si>
    <t>Karl Heinz</t>
  </si>
  <si>
    <t>karl-heinz.flach@agosi.de</t>
  </si>
  <si>
    <t>Conformant-audited by LBMA RG / RJC- valid until 08/15/2022</t>
  </si>
  <si>
    <t>True</t>
  </si>
  <si>
    <t>Recycled, Scrap</t>
  </si>
  <si>
    <t>Seigo Mukoyama</t>
  </si>
  <si>
    <t>smukoyama@aida-j.jp</t>
  </si>
  <si>
    <t>Mineral sourcing R/S</t>
  </si>
  <si>
    <t>0</t>
  </si>
  <si>
    <t>/</t>
  </si>
  <si>
    <t>6-36-6,Minami-cho</t>
  </si>
  <si>
    <t>Toshiaki Dobashi</t>
  </si>
  <si>
    <t>tdobashi@aida-j.jp</t>
  </si>
  <si>
    <t>Not disclosed</t>
  </si>
  <si>
    <t>Mitsui-PPF</t>
  </si>
  <si>
    <t>Jamie Belino</t>
  </si>
  <si>
    <t>jamie.belino@aletihadgold.com</t>
  </si>
  <si>
    <t>Mineral sourcing HR,R/S based on RMAP-RMI's RCOI data</t>
  </si>
  <si>
    <t>Mr. Rustam Halilov (Export Manager)</t>
  </si>
  <si>
    <t>r.halilov@agmk.uz</t>
  </si>
  <si>
    <t>Conformant</t>
  </si>
  <si>
    <t>Mineral sourcing not disclosed by LBMA</t>
  </si>
  <si>
    <t>Jose Roberto Vago</t>
  </si>
  <si>
    <t>JRVago@AngloGoldAshanti.com.br</t>
  </si>
  <si>
    <t>No "recycled" or "scrap"</t>
  </si>
  <si>
    <t>info.argor@heraeus.com</t>
  </si>
  <si>
    <t>Christoph Wild (Co-CEO)</t>
  </si>
  <si>
    <t>christoph.wild@argor.com</t>
  </si>
  <si>
    <t>Conformant-audited by LBMA RG / RJC- valid until 06/27/2023</t>
  </si>
  <si>
    <t>Mineral sourcing not disclosed by LBMA and RJC</t>
  </si>
  <si>
    <t>Heraeus-Au Wire</t>
  </si>
  <si>
    <t>Via Moree 14</t>
  </si>
  <si>
    <t>customer service</t>
  </si>
  <si>
    <t>Tel +41 91 640 53 53</t>
  </si>
  <si>
    <t>CFS Validated</t>
  </si>
  <si>
    <t>Nippon_Cu wire (EX1p)，Conformant Gold Refiner</t>
  </si>
  <si>
    <t>Takatsugu Motoki (Assistant General Manager)</t>
  </si>
  <si>
    <t>t-motoki@asahipretec.com</t>
  </si>
  <si>
    <t>Conformant-audited by LBMA RG- valid until 12/09/2022</t>
  </si>
  <si>
    <t>Recycled, but not all</t>
  </si>
  <si>
    <t>Wire/Nippon</t>
  </si>
  <si>
    <t>Canada,Recycled</t>
  </si>
  <si>
    <t>David Dorris</t>
  </si>
  <si>
    <t>david.dorris@asahirefining.com</t>
  </si>
  <si>
    <t>Conformant-audited by LBMA RG- valid until 12/15/2022</t>
  </si>
  <si>
    <t>Borden Gold Mine</t>
  </si>
  <si>
    <t>From Canada</t>
  </si>
  <si>
    <t>130 Glidden Road</t>
  </si>
  <si>
    <t>Grant Angwin</t>
  </si>
  <si>
    <t>grant.angwin@asahirefining.com</t>
  </si>
  <si>
    <t>Canada</t>
  </si>
  <si>
    <t>Conflict Free Smelter</t>
  </si>
  <si>
    <t>Wire / MK，Conflict Free Smelter</t>
  </si>
  <si>
    <t>Recycled, Scrap,Unknow</t>
  </si>
  <si>
    <t>Yoshimasa Uozumi</t>
  </si>
  <si>
    <t>cyuozumi@asaka.co.jp</t>
  </si>
  <si>
    <t>47,Kanaya-aza Maseguchi</t>
  </si>
  <si>
    <t>Satoshi Kuromori</t>
  </si>
  <si>
    <t>suishin-ml@asaka.co.jp</t>
  </si>
  <si>
    <t>Steffi Greif</t>
  </si>
  <si>
    <t>s.greif@aurubis.com</t>
  </si>
  <si>
    <t>Conformant-audited by RMI (members / partners)- valid until 01/24/2023</t>
  </si>
  <si>
    <t>Karnataka</t>
  </si>
  <si>
    <t>Nikhil S Dhruv (Director)</t>
  </si>
  <si>
    <t>nikhil@bangalorerefinery.com</t>
  </si>
  <si>
    <t>Maricel Santos (Manager - Production Planning Division), Elaine Kate Pagalilauan (Compliance/Planning)</t>
  </si>
  <si>
    <t>mcsantos@bsp.gov.ph (Maricel Santos), pagalilauanef@bsp.gov.ph (Elaine Kate Pagalilauan)</t>
  </si>
  <si>
    <t>Boliden AB</t>
  </si>
  <si>
    <t>Hanna Schweitz</t>
  </si>
  <si>
    <t>hanna.schweitz@boliden.com</t>
  </si>
  <si>
    <t>Philipp Reisert, Bruno Steinmetz</t>
  </si>
  <si>
    <t>Philipp.Reisert@c-hafner.de, ph.reisert@c-hafner.de,  Bruno.Steinmetz@c-hafner.de</t>
  </si>
  <si>
    <t>Conformant-audited by LBMA RG / RJC- valid until 05/11/2022</t>
  </si>
  <si>
    <t>Teresa Bent</t>
  </si>
  <si>
    <t>Teresa.Bent@glencore-ca.com</t>
  </si>
  <si>
    <t>Conformant-audited by RMI (members / partners)- valid until 09/16/2022</t>
  </si>
  <si>
    <t>Dr. Theo Gautschi</t>
  </si>
  <si>
    <t>theo.gautschi@cmsa.ch</t>
  </si>
  <si>
    <t>Conformant-audited by RMI (members / partners)- valid until 09/16/2023</t>
  </si>
  <si>
    <t>Giovanni Prelazzi</t>
  </si>
  <si>
    <t>giovanni.prelazzi@chimet.com</t>
  </si>
  <si>
    <t>Conformant-audited by RMI (members / partners)- valid until 08/12/2022</t>
  </si>
  <si>
    <t>Mr. Futoshi Sasaki</t>
  </si>
  <si>
    <t>info@chugaikogyo.co.jp</t>
  </si>
  <si>
    <t>Conformant-audited by RMI (members / partners)- valid until 08/21/2023</t>
  </si>
  <si>
    <t>CID000362</t>
  </si>
  <si>
    <t>Doduco</t>
  </si>
  <si>
    <t>DODUCO Contacts and Refining GmbH</t>
  </si>
  <si>
    <t>DODUCO GmbH</t>
  </si>
  <si>
    <t>Baden-Wurttemberg</t>
  </si>
  <si>
    <t>Canada,recycled</t>
  </si>
  <si>
    <t>Kishu Okuda</t>
  </si>
  <si>
    <t>okudak@dowa.co.jp</t>
  </si>
  <si>
    <t>Huckleberry</t>
  </si>
  <si>
    <t>Mineral sourcing LR,R/S, from Canada</t>
  </si>
  <si>
    <t>Ms. Kang Ju Hyun</t>
  </si>
  <si>
    <t>do2845@chol.com</t>
  </si>
  <si>
    <t>Conformant-audited by RMI (members / partners)- valid until 11/29/2022</t>
  </si>
  <si>
    <t>Eco-System Recycling Co., Ltd.</t>
  </si>
  <si>
    <t>Mr. Yoshihiko Hoshikawa</t>
  </si>
  <si>
    <t>hoshikay@dowa.co.jp</t>
  </si>
  <si>
    <t>Conformant-audited by RMI (members / partners)- valid until 10/15/2022</t>
  </si>
  <si>
    <t>Conformant-audited by RMI (members / partners)- valid until 10/22/2024</t>
  </si>
  <si>
    <t>Conformant-audited by RMI (members / partners)- valid until 10/19/2024</t>
  </si>
  <si>
    <t>Rami Shakarchi</t>
  </si>
  <si>
    <t>rami.shakarchi@emiratesgold.ae</t>
  </si>
  <si>
    <t>Mineral sourcing LR,HR,CC,R/S, based on RMAP-RMI's RCOI data</t>
  </si>
  <si>
    <t>CID002355</t>
  </si>
  <si>
    <t>Faggi Enrico S.p.A.</t>
  </si>
  <si>
    <t>Sesto Fiorentino</t>
  </si>
  <si>
    <t>Florence</t>
  </si>
  <si>
    <t>GCC Gujrat Gold Centre Pvt. Ltd.</t>
  </si>
  <si>
    <t>Gujarat</t>
  </si>
  <si>
    <t>CID002459</t>
  </si>
  <si>
    <t>Geib Refining Corporation</t>
  </si>
  <si>
    <t>Mike Gervais</t>
  </si>
  <si>
    <t>Mike@geibrefining.com</t>
  </si>
  <si>
    <t>China</t>
  </si>
  <si>
    <t>zjky@zjky.cn</t>
  </si>
  <si>
    <t>Leigui Qin 雷桂琴</t>
  </si>
  <si>
    <t>zjkyir@zjky.cn</t>
  </si>
  <si>
    <t>Conformant-audited by LBMA RG- valid until 08/12/2022</t>
  </si>
  <si>
    <t>From China</t>
  </si>
  <si>
    <t>Eduard Stefanescu</t>
  </si>
  <si>
    <t>stefanescued@heimerle-meule.com</t>
  </si>
  <si>
    <t>Juergen Mueller</t>
  </si>
  <si>
    <t>juergen.mueller@heraeus.com</t>
  </si>
  <si>
    <t>Mineral sourcing LR,R/S, based on RMAP-RMI's RCOI data</t>
  </si>
  <si>
    <t>Hong Kong</t>
  </si>
  <si>
    <t>chakyeung.lung@heraeus.com</t>
  </si>
  <si>
    <t>RECYCLED</t>
  </si>
  <si>
    <t>30 ON CHUEN STREET</t>
  </si>
  <si>
    <t>Lung Chak Yeung</t>
  </si>
  <si>
    <t>UNKOWN</t>
  </si>
  <si>
    <t>our supplier has been audited by LBMA.</t>
  </si>
  <si>
    <t>Heraeus technology centre 30 On Chen street</t>
  </si>
  <si>
    <t>Recyling &amp; Refining Department</t>
  </si>
  <si>
    <t>rc.hlh@heraeus.com</t>
  </si>
  <si>
    <t>SBT-Simmtech</t>
  </si>
  <si>
    <t>Marc Schuetzkowski</t>
  </si>
  <si>
    <t>marc.schuetzkowski@heraeus.com</t>
  </si>
  <si>
    <t>Conformant-audited by LBMA RG / RJC- valid until 11/25/2024</t>
  </si>
  <si>
    <t>Various mines + recycled + scrap</t>
  </si>
  <si>
    <t>From various mines from Philippines, Thailand, Laos, China, Hong Kong + recycled + scrap</t>
  </si>
  <si>
    <t>Hong Kong SAR (see also separate country code entr</t>
  </si>
  <si>
    <t>recycled</t>
  </si>
  <si>
    <t>Substrate-NPCB</t>
  </si>
  <si>
    <t>chakyeung.lung@herae.us.com</t>
  </si>
  <si>
    <t>Chna</t>
  </si>
  <si>
    <t>Hesse</t>
  </si>
  <si>
    <t>Heraeusstraße 12 - 14</t>
  </si>
  <si>
    <t>chemicals_europe@heraeus.com</t>
  </si>
  <si>
    <t>Germany</t>
  </si>
  <si>
    <t>2274801749@qq.com</t>
  </si>
  <si>
    <t>Conformant-audited by RMI (members / partners)- valid until 08/06/2022</t>
  </si>
  <si>
    <t>recycled,Unknow</t>
  </si>
  <si>
    <t>Tatsuto Nagata (Director)</t>
  </si>
  <si>
    <t>shizai@ifk.co.jp</t>
  </si>
  <si>
    <t>Conformant-audited by LBMA RG- valid until 05/25/2022</t>
  </si>
  <si>
    <t>Recycled and mines, not disclosed by supplier</t>
  </si>
  <si>
    <t>Nippon-EX1p</t>
  </si>
  <si>
    <t>Cigdem Bostan</t>
  </si>
  <si>
    <t>cbostan@mygoldgram.com</t>
  </si>
  <si>
    <t>Conformant-audited by RMI (members / partners)- valid until 05/17/2022</t>
  </si>
  <si>
    <t>Filippo Finocchi</t>
  </si>
  <si>
    <t>filippo.finocchi@italpreziosi.it</t>
  </si>
  <si>
    <t>Conformant-audited by RMI (members / partners)- valid until 03/23/2023</t>
  </si>
  <si>
    <t>pub@mint.go.jp</t>
  </si>
  <si>
    <t>Conformant-audited by RMI (members / partners)- valid until 08/16/2022</t>
  </si>
  <si>
    <t>Mr. Zhang</t>
  </si>
  <si>
    <t>master@jxcn.cn</t>
  </si>
  <si>
    <t>Conformant-audited by RMI (members / partners)- valid until 05/18/2022</t>
  </si>
  <si>
    <t>Australia,Chiles,recycled,Unknow</t>
  </si>
  <si>
    <t>Caserones　etc.</t>
  </si>
  <si>
    <t>Chile etc.</t>
  </si>
  <si>
    <t>Wire-Nippon</t>
  </si>
  <si>
    <t>Ryosuke Tawara</t>
  </si>
  <si>
    <t>r_tawara@ppcu.co.jp</t>
  </si>
  <si>
    <t>Conformant-audited by LBMA RG- valid until 12/14/2022</t>
  </si>
  <si>
    <t>Collahuasi, Los Pelambres, Escondida, Collahuasi,Caserones, Cadia</t>
  </si>
  <si>
    <t>From Chile</t>
  </si>
  <si>
    <t>3-3382 Saganoseki</t>
  </si>
  <si>
    <t>Masayuki Hirade</t>
  </si>
  <si>
    <t>hirade@ppcu.co.jp</t>
  </si>
  <si>
    <t>CFSI audit approved</t>
  </si>
  <si>
    <t>WIRE-NIPPON</t>
  </si>
  <si>
    <t>kazzinc@kazzinc.com</t>
  </si>
  <si>
    <t>Conformant-audited by RMI (members / partners)- valid until 05/05/2022</t>
  </si>
  <si>
    <t>Bill Adams</t>
  </si>
  <si>
    <t>william.adams@riotinto.com</t>
  </si>
  <si>
    <t>Conformant-audited by LBMA RG- valid until 12/02/2022</t>
  </si>
  <si>
    <t>Oskar Filipowski</t>
  </si>
  <si>
    <t>Oskar.Filipowski@kghm.com</t>
  </si>
  <si>
    <t>Conformant-audited by RMI (members / partners)- valid until 05/10/2022</t>
  </si>
  <si>
    <t>Recycled or scrap,Unknow</t>
  </si>
  <si>
    <t>Ms. Maiko Kobayashi</t>
  </si>
  <si>
    <t>maiko.kobayashi@kojima-c.co.jp</t>
  </si>
  <si>
    <t>Conformant-audited by RMI (members / partners)- valid until 09/10/2023</t>
  </si>
  <si>
    <t>Gangnam</t>
  </si>
  <si>
    <t>Koohoi Kim</t>
  </si>
  <si>
    <t>khoikim@koreazinc.co.kr</t>
  </si>
  <si>
    <t>Conformant-audited by RMI (members / partners)- valid until 11/12/2022</t>
  </si>
  <si>
    <t>Tanzania</t>
  </si>
  <si>
    <t>This smelter is RMI Conformant.
http://www.responsiblemineralsinitiative.org/gold-refiners-list/</t>
  </si>
  <si>
    <t>Eduardo Sotilla</t>
  </si>
  <si>
    <t>ESotilla@lorfebre.com</t>
  </si>
  <si>
    <t>Mineral sourcing HR, CC, R/S based on RMAP-RMI's RCOI data</t>
  </si>
  <si>
    <t>LS-NIKKO Copper Inc.</t>
  </si>
  <si>
    <t>Recycled,Unknow,Brazil,Vale</t>
  </si>
  <si>
    <t>Jeong Hoon Shin</t>
  </si>
  <si>
    <t>jhshin@lsnikko.com</t>
  </si>
  <si>
    <t>Conformant-audited by LBMA RG- valid until 10/29/2022</t>
  </si>
  <si>
    <t>Escondida,Andia,Cuquicamata and Vale</t>
  </si>
  <si>
    <t>From Chile, Brazil</t>
  </si>
  <si>
    <t>Mr. KW Song</t>
  </si>
  <si>
    <t>kwsong@ltmetal.co.kr</t>
  </si>
  <si>
    <t>Conformant-audited by RMI (members / partners)- valid until 08/11/2023</t>
  </si>
  <si>
    <t>Mr. Otavio Surian Matias</t>
  </si>
  <si>
    <t>Gerencia@refinadoramarsam.com.br</t>
  </si>
  <si>
    <t>Tim Pelletier</t>
  </si>
  <si>
    <t>Timothy.Pelletier@materion.com</t>
  </si>
  <si>
    <t>Scrap
Recycled,Unknow</t>
  </si>
  <si>
    <t>Mr. Takashi Yamanoi</t>
  </si>
  <si>
    <t>yamanoi-t@matsuda-sangyo.co.jp; hinshou@matsuda-sangyo.co.jp</t>
  </si>
  <si>
    <t>Recycled or Scrap</t>
  </si>
  <si>
    <t>Recycled or scrap</t>
  </si>
  <si>
    <t>108-9 Sayamagahara, Iruma, Saitama 358-0032</t>
  </si>
  <si>
    <t>Mr.Takashi YAMANOI</t>
  </si>
  <si>
    <t>hinshou@matsuda-sangyo.co.jp</t>
  </si>
  <si>
    <t>Mining；Peru,Recycled,Unknow</t>
  </si>
  <si>
    <t>Larry Drummond</t>
  </si>
  <si>
    <t>Larry.Drummond@metalor.com</t>
  </si>
  <si>
    <t>Conformant-audited by LBMA RG / RJC- valid until 04/22/2024</t>
  </si>
  <si>
    <t>congagold ore</t>
  </si>
  <si>
    <t>From Peru and China</t>
  </si>
  <si>
    <t>45-51 Tai Lin Pai Road</t>
  </si>
  <si>
    <t>Ada Yu</t>
  </si>
  <si>
    <t>Ada.Yu@metalor.com</t>
  </si>
  <si>
    <t>Mining, recycled and scrap sources</t>
  </si>
  <si>
    <t>Rm.1705-9,Metropolis Tower 10 Metropolis Drive. Hung Hom</t>
  </si>
  <si>
    <t>Fiona Tai</t>
  </si>
  <si>
    <t>sales.hk@metalor.com</t>
  </si>
  <si>
    <t>Conformant-audited by LBMA RG / RJC- valid until 05/17/2022</t>
  </si>
  <si>
    <t>From Peru</t>
  </si>
  <si>
    <t>8 Buroh Street #01-06</t>
  </si>
  <si>
    <t>KL Yap</t>
  </si>
  <si>
    <t>KL.Yap@metalor.com</t>
  </si>
  <si>
    <t>SU ZHOU</t>
  </si>
  <si>
    <t>Jack Xue</t>
  </si>
  <si>
    <t>Jack.xue@metalor.com</t>
  </si>
  <si>
    <t>Shanghai Exchange Market</t>
  </si>
  <si>
    <t>Shanghai</t>
  </si>
  <si>
    <t>Shanghai Exchange Market Accredited</t>
  </si>
  <si>
    <t>China,Unknow</t>
  </si>
  <si>
    <t>Mr. Xiaodong Li</t>
  </si>
  <si>
    <t>xiaodong.li@metalor.com</t>
  </si>
  <si>
    <t>Mining not disclosed by supplier, recycled and scrap sources</t>
  </si>
  <si>
    <t>Jiangsu</t>
  </si>
  <si>
    <t>Buiding B, 48 Dongfu Road</t>
  </si>
  <si>
    <t>Bernie Chen</t>
  </si>
  <si>
    <t>Bernie.Chen@metalor.com</t>
  </si>
  <si>
    <t>Recycled, Scrap,SWITZERLAND,Unknow</t>
  </si>
  <si>
    <t>Tel: 41 32 720 6111</t>
  </si>
  <si>
    <t>Metalor Technologies SA</t>
  </si>
  <si>
    <t>Marco Pisino</t>
  </si>
  <si>
    <t>marco.pisino@metalor.com</t>
  </si>
  <si>
    <t>Conformant-audited by LBMA RG / RJC- valid until 04/03/2024</t>
  </si>
  <si>
    <t>Nicolas Burgi</t>
  </si>
  <si>
    <t>Nicolas.Burgi@metalor.com</t>
  </si>
  <si>
    <t>Route des Perveuils 8</t>
  </si>
  <si>
    <t>Yuxing Shang</t>
  </si>
  <si>
    <t>Yuxing.Shang@metalor.com</t>
  </si>
  <si>
    <t>Rue des Perveuils 8
CH-2074 Marin</t>
  </si>
  <si>
    <t>Tel. +41 32 720 6111</t>
  </si>
  <si>
    <t>Conformant-audited by LBMA RG / RJC- valid until 03/27/2024</t>
  </si>
  <si>
    <t>255 Jonh L. Dietsch Boulevard</t>
  </si>
  <si>
    <t>Samantha McCourt</t>
  </si>
  <si>
    <t>Samantha.McCourt@metalor.com</t>
  </si>
  <si>
    <t>Celia Ortega</t>
  </si>
  <si>
    <t>Celia_Ortega@penoles.com.mx</t>
  </si>
  <si>
    <t>Naoshima</t>
  </si>
  <si>
    <t>Canada, Chile,recycled</t>
  </si>
  <si>
    <t>Mr. Tadakazu Kagami</t>
  </si>
  <si>
    <t>tkagami@mmc.co.jp</t>
  </si>
  <si>
    <t>Conformant-audited by LBMA RG- valid until 08/17/2022</t>
  </si>
  <si>
    <t>Copper Mountain, Escondida, Los Pelambres and Huckleberry</t>
  </si>
  <si>
    <t>From Canada, Chile</t>
  </si>
  <si>
    <t>EX1p/Wire/Nippon</t>
  </si>
  <si>
    <t>4049-1, Naoshima-cho</t>
  </si>
  <si>
    <t>(+81)3-5252-5200</t>
  </si>
  <si>
    <t>Inqurities on the home page of the company</t>
  </si>
  <si>
    <t>Copper Mountain, Escondida, Los Pelambres</t>
  </si>
  <si>
    <t>Canada, Chile</t>
  </si>
  <si>
    <t>Australia,Chile,recycled</t>
  </si>
  <si>
    <t>Mr. Tatsuyoshi Sakada</t>
  </si>
  <si>
    <t>sakada@mitsui-kinzoku.com</t>
  </si>
  <si>
    <t>Conformant-audited by LBMA RG- valid until 10/21/2022</t>
  </si>
  <si>
    <t>Collahuasi, Los Pelambres, Escondida, Collahuasi and Cadia Hill</t>
  </si>
  <si>
    <t>From Chile and Australia</t>
  </si>
  <si>
    <t>1-5-1, Shiomachi</t>
  </si>
  <si>
    <t>(+81)3-5437-8000</t>
  </si>
  <si>
    <t>Collahuasi, Los Pelambres, Escondida, Collahuasi</t>
  </si>
  <si>
    <t>Chile</t>
  </si>
  <si>
    <t>10 Promenade de St-Antoine
P.O Box 3470</t>
  </si>
  <si>
    <t>Daniela Ragnoli</t>
  </si>
  <si>
    <t>info@pamp.com</t>
  </si>
  <si>
    <t>Alle Zocche CH-6874</t>
  </si>
  <si>
    <t>Castel San Pietro</t>
  </si>
  <si>
    <t>Haryana</t>
  </si>
  <si>
    <t>Rajesh Khosla</t>
  </si>
  <si>
    <t>rajesh.khosla@mmtcpamp.com</t>
  </si>
  <si>
    <t>Conformant-audited by RMI (members / partners)- valid until 06/10/2022</t>
  </si>
  <si>
    <t>Esat Caliskan</t>
  </si>
  <si>
    <t>esat.caliskan@nadirmetal.com.tr</t>
  </si>
  <si>
    <t>Conformant-audited by RMI (members / partners)- valid until 07/05/2022</t>
  </si>
  <si>
    <t>Mr. Beknazarov (Foreign Economic Relations Dept.), Hasan Safarov (Head of Board for Foreign Economic Relations and Marketing, State Company "Navoi Mining and Metallurgical Combinat")</t>
  </si>
  <si>
    <t>l.beknazarov@ngmk.uz</t>
  </si>
  <si>
    <t>Conformant-audited by RMI (members / partners)- valid until 01/27/2023</t>
  </si>
  <si>
    <t>Mr. Nobutake Morita</t>
  </si>
  <si>
    <t>n.morita@material.co.jp</t>
  </si>
  <si>
    <t>Conformant-audited by LBMA RG- valid until 08/16/2022</t>
  </si>
  <si>
    <t>Recycled</t>
  </si>
  <si>
    <t>Marcus Fasching</t>
  </si>
  <si>
    <t>marcus.fasching@oegussa.at</t>
  </si>
  <si>
    <t>Conformant-audited by RMI (members / partners)- valid until 01/29/2024</t>
  </si>
  <si>
    <t>Ohura Soichiro</t>
  </si>
  <si>
    <t>ohura.soichiro@ohura.co.jp</t>
  </si>
  <si>
    <t>SWITZERLAND,Uknow</t>
  </si>
  <si>
    <t>Mewewe</t>
  </si>
  <si>
    <t>March 13, 2016 Audited by LBMA</t>
  </si>
  <si>
    <t>recycle</t>
  </si>
  <si>
    <t>竑玮</t>
  </si>
  <si>
    <t>Oliver Demierre</t>
  </si>
  <si>
    <t>olivier@mks.ch</t>
  </si>
  <si>
    <t>Conformant-audited by LBMA RG- valid until 06/10/2022</t>
  </si>
  <si>
    <t>Richard Kang</t>
  </si>
  <si>
    <t>Richard@prmchile.com</t>
  </si>
  <si>
    <t>Mineral sourcing LR</t>
  </si>
  <si>
    <t>Diana Budiani Rahmawati</t>
  </si>
  <si>
    <t>diana@pttimah.co.id</t>
  </si>
  <si>
    <t>Jerome Tirmarche</t>
  </si>
  <si>
    <t>jerome.tirmarche@pxgroup.com</t>
  </si>
  <si>
    <t>Conformant-audited by RMI (members / partners)- valid until 08/31/2022</t>
  </si>
  <si>
    <t>Chris Horsley</t>
  </si>
  <si>
    <t>chrish@gold.co.za</t>
  </si>
  <si>
    <t>Conformant-audited by RMI (members / partners)- valid until 12/09/2022</t>
  </si>
  <si>
    <t>Tobias Schmiemann</t>
  </si>
  <si>
    <t>Tobias.Schmiemann@remondis-argentia.nl</t>
  </si>
  <si>
    <t>Ms. Amanda Bartleman</t>
  </si>
  <si>
    <t>bartleman@mint.ca</t>
  </si>
  <si>
    <t>Conformant-audited by LBMA RG- valid until 09/13/2022</t>
  </si>
  <si>
    <t>Tali Nadjar</t>
  </si>
  <si>
    <t>tali.nadjar@saamp.com</t>
  </si>
  <si>
    <t>Conformant-audited by RMI (members / partners)- valid until 04/28/2023</t>
  </si>
  <si>
    <t>Francesco Ricciardi</t>
  </si>
  <si>
    <t>info@safimet.com</t>
  </si>
  <si>
    <t>Conformant-audited by RMI (members / partners)- valid until 08/21/2022</t>
  </si>
  <si>
    <t>Daniel Chvatal</t>
  </si>
  <si>
    <t>daniel.chvatal@safina.cz</t>
  </si>
  <si>
    <t>Mr. KeHyun Kwon</t>
  </si>
  <si>
    <t>kwon0213@daum.net</t>
  </si>
  <si>
    <t>Conformant-audited by RMI (members / partners)- valid until 09/11/2022</t>
  </si>
  <si>
    <t>Julian Sarda</t>
  </si>
  <si>
    <t>jsarda@sempsajp.com</t>
  </si>
  <si>
    <t>Conformant-audited by LBMA RG / RJC- valid until 09/25/2024</t>
  </si>
  <si>
    <t>Jiang Guochang 姜国昌</t>
  </si>
  <si>
    <t>ir@sd-gold.com</t>
  </si>
  <si>
    <t>Shandong</t>
  </si>
  <si>
    <t>Cai Jiansheng 蔡建生</t>
  </si>
  <si>
    <t>zhaojinjinglian@zhaojin.cn (Cai Jiansheng), ytszjx@163@.com, zjky@zhaojin.com.cn</t>
  </si>
  <si>
    <t>From Jinchiling  Gold Mine and Shandong zhaoyuan</t>
  </si>
  <si>
    <t>Ms.Chen</t>
  </si>
  <si>
    <t>china@zjlifu.com</t>
  </si>
  <si>
    <t>东旭</t>
  </si>
  <si>
    <t>Sunxiaohui</t>
  </si>
  <si>
    <t>zhaojin_sunxiaohui@163.com</t>
  </si>
  <si>
    <t>Jinchiling Gold Mine</t>
  </si>
  <si>
    <t>Substrate-NPCB-KS</t>
  </si>
  <si>
    <t>No.2, Wenhua Road, Zhaoyuan, Yantai, Shandong, China</t>
  </si>
  <si>
    <t>No.289 Jinhui Road</t>
  </si>
  <si>
    <t>SBT-NPCB-KS</t>
  </si>
  <si>
    <t>Chen Liyang</t>
  </si>
  <si>
    <t>service@tianzegold.com</t>
  </si>
  <si>
    <t>Serena Tsai</t>
  </si>
  <si>
    <t>serena@sing-way.com</t>
  </si>
  <si>
    <t>Mineral sourcing L1,R/S</t>
  </si>
  <si>
    <t>Ms. Claire Lin; Ava Hsieh</t>
  </si>
  <si>
    <t>claire.lin@solartech.com.tw; avahsieh@solartech.com.tw</t>
  </si>
  <si>
    <t>Conformant-audited by LBMA RG- valid until 05/18/2022</t>
  </si>
  <si>
    <t>Sherry Hsieh</t>
  </si>
  <si>
    <t>sherry@solartech.com.tw</t>
  </si>
  <si>
    <t>United States, Peru, Chile, Japan</t>
  </si>
  <si>
    <t>Akira Nozaki; Seiji Kaneko</t>
  </si>
  <si>
    <t>Funsokobutsu_Kin_Kinzoku@ni.smm.co.jp (Akira Nozaki); seiji_kaneko@ni.smm.co.jp (Seiji Kaneko)</t>
  </si>
  <si>
    <t>Conformant-audited by LBMA RG- valid until 08/30/2022</t>
  </si>
  <si>
    <t>Morenci, Cerro Verde, Sierra Gorda,Candelaria, Ojos del Salado, Hishikari</t>
  </si>
  <si>
    <t>From United States, Peru, Chile, Japan</t>
  </si>
  <si>
    <t>145-1, Funaya-Aza-Shinchi-Otu,</t>
  </si>
  <si>
    <t>(+81)3-3436-7701</t>
  </si>
  <si>
    <t>Morenci, Cerro Verde, Sierra Gorda, 
Candelaria, Ojos del Salado, Hishikari</t>
  </si>
  <si>
    <t>JH Ahn</t>
  </si>
  <si>
    <t>jhahn@sungeel.com</t>
  </si>
  <si>
    <t>Conformant-audited by RMI (members / partners)- valid until 03/10/2023</t>
  </si>
  <si>
    <t>tcaspa@tcaspa.com</t>
  </si>
  <si>
    <t>Conformant-audited by RMI (members / partners)- valid until 07/08/2022</t>
  </si>
  <si>
    <t>Nippon_Cu wire (EX1p)</t>
  </si>
  <si>
    <t>Recycled, Unknow</t>
  </si>
  <si>
    <t>Kazunori Ochiai</t>
  </si>
  <si>
    <t>ochiai-k@ml.tanaka.co.jp</t>
  </si>
  <si>
    <t>Tanaka purchased gold metal with ONLY the good
delivery brand, which London Bullion Market Association
(LBMA) approved as, from our supplier</t>
  </si>
  <si>
    <t>Wire-TANAKA</t>
  </si>
  <si>
    <t>Ken Oka</t>
  </si>
  <si>
    <t>k-oka@ml.tanaka.co.jp</t>
  </si>
  <si>
    <t>Recycled grain gold refined by Tanaka Kikinzoku Kogyo K.K</t>
  </si>
  <si>
    <t>Nagatora 2-14</t>
  </si>
  <si>
    <t>Akihika Okuda</t>
  </si>
  <si>
    <t>Okuda@ml.tanaka.co.jp</t>
  </si>
  <si>
    <t>WIRE-TANAKA</t>
  </si>
  <si>
    <t>Naoji Yamada</t>
  </si>
  <si>
    <t>nao-yamada@tokuriki-kanda.co.jp</t>
  </si>
  <si>
    <t>Zhanas Muratbek</t>
  </si>
  <si>
    <t>admin@taukenaltyn.kz</t>
  </si>
  <si>
    <t>Conformant-audited by RMI (members / partners)- valid until 06/06/2022</t>
  </si>
  <si>
    <t>Mr. JeUk You</t>
  </si>
  <si>
    <t>juyou@torecom.co.kr</t>
  </si>
  <si>
    <t>Conformant-audited by RMI (members / partners)- valid until 07/17/2022</t>
  </si>
  <si>
    <t>Jeroen Dejonckheere</t>
  </si>
  <si>
    <t>jeroen.dejonckheere@ap.umicore.com</t>
  </si>
  <si>
    <t>Conformant-audited by RMI (members / partners)- valid until 06/21/2022</t>
  </si>
  <si>
    <t>Jan Robbroeckx</t>
  </si>
  <si>
    <t>Jan.Robbroeckx@eu.umicore.com</t>
  </si>
  <si>
    <t>Conformant-audited by LBMA RG- valid until 07/30/2022</t>
  </si>
  <si>
    <t>Mr. Michael Mikolay</t>
  </si>
  <si>
    <t>MMikolay@unitedpmr.com</t>
  </si>
  <si>
    <t>41 (0)91 260 05 69</t>
  </si>
  <si>
    <t>Valcambi SA</t>
  </si>
  <si>
    <t>Michael Mesaric</t>
  </si>
  <si>
    <t>Michael.Mesaric@valcambi.com</t>
  </si>
  <si>
    <t>Conformant-audited by RMI (members / partners)- valid until 07/05/2023</t>
  </si>
  <si>
    <t>Australia</t>
  </si>
  <si>
    <t>refineryenquiries@perthmint.com.au</t>
  </si>
  <si>
    <t>Nathan Edwards</t>
  </si>
  <si>
    <t>Nathan.edwards@perthmint.com.au</t>
  </si>
  <si>
    <t>Perth Mint, The Bronzewing Gold Mine,Boddington Gold Mine</t>
  </si>
  <si>
    <t>From Australia</t>
  </si>
  <si>
    <t>131 Horrie Millar Drive</t>
  </si>
  <si>
    <t>Kelly Curtis</t>
  </si>
  <si>
    <t>kelly.curtis@perthmint.com.au</t>
  </si>
  <si>
    <t>Boddington Gold Mine</t>
  </si>
  <si>
    <t>Wire / MK</t>
  </si>
  <si>
    <t>Germany, Switzerland</t>
  </si>
  <si>
    <t>Stefan Helmling</t>
  </si>
  <si>
    <t>helmling@wieland-edelmetalle.de, Stefan.Helmling@wieland-edelmetalle.de</t>
  </si>
  <si>
    <t>Conformant-audited by RJC- valid until 12/18/2022</t>
  </si>
  <si>
    <t>Hiroyuki Itoigawa</t>
  </si>
  <si>
    <t>itoigawa@yamakin-gold.co.jp</t>
  </si>
  <si>
    <t>Mr. Kazuhiro Araki</t>
  </si>
  <si>
    <t>Araki@mail.yk-metal.co.jp</t>
  </si>
  <si>
    <t>zjzx@zjgold.com</t>
  </si>
  <si>
    <t>Henan</t>
  </si>
  <si>
    <t>Sergio Hallak</t>
  </si>
  <si>
    <t>shallak@amg-br.com</t>
  </si>
  <si>
    <t>Mineral sourcing LR, based on RMAP-RMI's RCOI data</t>
  </si>
  <si>
    <t>CID000211</t>
  </si>
  <si>
    <t>Changsha South Tantalum Niobium Co., Ltd.</t>
  </si>
  <si>
    <t>Changsha</t>
  </si>
  <si>
    <t>Ivy Du</t>
  </si>
  <si>
    <t>ivydu@csnftn.cn</t>
  </si>
  <si>
    <t>Some are recycled, scrap or covered countries sourced but not all.</t>
  </si>
  <si>
    <t>Mineral sourcing L1,R/S, based on RMAP-RMI's RCOI data</t>
  </si>
  <si>
    <t>Changsha South Tantalum Niobium Co., Ltd. Dagualing Village, Huangxing Town, Changsha Hunan 410129, China</t>
  </si>
  <si>
    <t>No Action Required as company is RMAP conformant</t>
  </si>
  <si>
    <t>RCOI confirmed per RMI</t>
  </si>
  <si>
    <t>RMAP Conformant</t>
  </si>
  <si>
    <t>Gastonia</t>
  </si>
  <si>
    <t>Craig Hafner</t>
  </si>
  <si>
    <t>Craig@dblockmetals.com</t>
  </si>
  <si>
    <t>Some are recycled, scrap, covered countries or DRC sourced but not all.</t>
  </si>
  <si>
    <t>1111 Jenkins Road, Gastonia NC</t>
  </si>
  <si>
    <t>Jenkins Road</t>
  </si>
  <si>
    <t>Craig.Hafner@dblockmetals.com</t>
  </si>
  <si>
    <t>Recyled or Scrap</t>
  </si>
  <si>
    <t>DRC,Burundi,Rwanda</t>
  </si>
  <si>
    <t>This smelter is RMI Conformant.
http://www.responsiblemineralsinitiative.org/tantalum-smelters-list/</t>
  </si>
  <si>
    <t>Raw material is sourced from multiple conflict-free mines globally.Recycled, Scrap,Unknow</t>
  </si>
  <si>
    <t>Mr. Zheng</t>
  </si>
  <si>
    <t>xyz@uil.com.hk</t>
  </si>
  <si>
    <t>Mineral sourcing LR,HR,DRC,CC, based on RMAP-RMI's RCOI data</t>
  </si>
  <si>
    <t>Xinhui, Jiangmen, Guangdong, China</t>
  </si>
  <si>
    <t>Peter Tang</t>
  </si>
  <si>
    <t>tang396919@hotmail.com</t>
  </si>
  <si>
    <t>Jiulong Industrial Zone, Yanling, Zhuzhou, Hunnan, China 106, Building 27, Yonghong Village, Hetang District, Zhuzhou, Hunan, China</t>
  </si>
  <si>
    <t>Not coverd countries area</t>
  </si>
  <si>
    <t>Jean-Paul Meutcheho (Director of Corporate Social Responsibility)</t>
  </si>
  <si>
    <t>JMeutcheho@globaladvancedmetals.com</t>
  </si>
  <si>
    <t>Conformant-audited by RMI (members / partners)- valid until 09/22/2022</t>
  </si>
  <si>
    <t>Mineral sourcing R/S,LR, based on RMAP-RMI's RCOI data</t>
  </si>
  <si>
    <t>R/S, LR</t>
  </si>
  <si>
    <t>Aizuwakamatsu, Fukushima, Japan</t>
  </si>
  <si>
    <t>Australia, Mozambique, Canada, Covered Country,Recycled, Scrap,Unknow</t>
  </si>
  <si>
    <t>Conformant-audited by RMI (members / partners)- valid until 09/17/2022</t>
  </si>
  <si>
    <t>Talison, Noventa, Tanco, proprietary</t>
  </si>
  <si>
    <t>Mineral sourcing DRC, CC, HR, LR, R/S from Rwanda, Burundi, Mozambique, Brazil, Australia</t>
  </si>
  <si>
    <t>United States Of America</t>
  </si>
  <si>
    <t>Angola, Argentina, Australia, Austria, Brazil, Burundi, Cambodia, Canada, Chile, Colombia, Democratic Republic of Congo, Ecuador, Guyana, Hungary, Japan, Kazakhstan, Korea, Luxembourg, Malaysia, Mongolia, Mozambique, Myanmar, Portugal, Recycled/Scrap, Rwanda, South Sudan, Sudan, Tanzania, United States, Zambia</t>
  </si>
  <si>
    <t>County Line Road</t>
  </si>
  <si>
    <t>Mr. Steve Krause</t>
  </si>
  <si>
    <t>skrause@globaladvance</t>
  </si>
  <si>
    <t>Guangdong Zhiyuan New Material Co., Ltd. Qiaotou Town, Yingde City Guangdong Province, China</t>
  </si>
  <si>
    <t>Belinda Huang</t>
  </si>
  <si>
    <t>belindahuang@jycmetal.com</t>
  </si>
  <si>
    <t>5, I-3A Road, Map Ta Phut Industrial Estate, Rayong 21150, Thailand</t>
  </si>
  <si>
    <t>Frank Habig</t>
  </si>
  <si>
    <t>Frank.Habig@hcstarck.com</t>
  </si>
  <si>
    <t>CID002547</t>
  </si>
  <si>
    <t>H.C. Starck Hermsdorf GmbH</t>
  </si>
  <si>
    <t>Hermsdorf</t>
  </si>
  <si>
    <t>Mandy von der Goenne</t>
  </si>
  <si>
    <t>mandy.vondergoenne@taniobis.com</t>
  </si>
  <si>
    <t>Robert-Friese-Straße 4, 07629 Hermsdorf</t>
  </si>
  <si>
    <t>Mark Smolinsky</t>
  </si>
  <si>
    <t>mark.smolinsky@taniobis.com</t>
  </si>
  <si>
    <t>Various mines, Talison</t>
  </si>
  <si>
    <t>Mineral sourcing LR,R/S from Bolivia, Brazil, Burundi, Ethiopia, India, Mozambique, Nambia, Rwanda, Sierra Leone, Zimbabwe, Nigeria, DRC</t>
  </si>
  <si>
    <t>45 Industrial Park</t>
  </si>
  <si>
    <t>Mr. Chang Yu Zhoug</t>
  </si>
  <si>
    <t>dept1@cniecjx.com</t>
  </si>
  <si>
    <t>Ferroweg 1</t>
  </si>
  <si>
    <t>frank.habig@hcstarck.com</t>
  </si>
  <si>
    <t>Australia, Bolivia, Brazil, Burundi, Democratic Republic of Congo, Ethiopia, India, Mozambique, Namibia, Nigeria, Rwanda, Sierra Leone, Zimbabwe,Unknow</t>
  </si>
  <si>
    <t>Im Schleeke 78-91</t>
  </si>
  <si>
    <t>Jiang Ying</t>
  </si>
  <si>
    <t>3377815@qq.com</t>
  </si>
  <si>
    <t>Conformant-audited by RMI (members / partners)- valid until 05/24/2022</t>
  </si>
  <si>
    <t>From other mines in china</t>
  </si>
  <si>
    <t>Mineral sourcing LR,HR,CC,DRC from China</t>
  </si>
  <si>
    <t>NO.1 Songjia Village, Zhuhui District, Hengyang City, Hunan Province, China</t>
  </si>
  <si>
    <t>Jocelyn Liu</t>
  </si>
  <si>
    <t>jocelynliu@qq.com</t>
  </si>
  <si>
    <t>Mineral sourcing LR from China</t>
  </si>
  <si>
    <t>NO.98hujiabian road fengxin jiangxi China</t>
  </si>
  <si>
    <t>Ms. Fen Zhou</t>
  </si>
  <si>
    <t>2336763048@qq.com</t>
  </si>
  <si>
    <t>Mr. Huang Shuigen</t>
  </si>
  <si>
    <t>489673857@qq.com</t>
  </si>
  <si>
    <t>Mineral sourcing LR,HR from China</t>
  </si>
  <si>
    <t>No. 3, Chunyi Road, Industrial Park</t>
  </si>
  <si>
    <t>China,Recycled, Scrap,Unknow</t>
  </si>
  <si>
    <t>Janny</t>
  </si>
  <si>
    <t>janny@jiujiangjx.com</t>
  </si>
  <si>
    <t>Conformant-audited by RMI (members / partners)- valid until 09/15/2022</t>
  </si>
  <si>
    <t>226# BinJiang East Road, Jiujiang City, JiangXi Province, China</t>
  </si>
  <si>
    <t>Ms. Lynn Chan</t>
  </si>
  <si>
    <t>import@jjtanbre.com.cn</t>
  </si>
  <si>
    <t>Yi Chun Tantalum &amp; Niobium Mine</t>
  </si>
  <si>
    <t>From China and multiples locations</t>
  </si>
  <si>
    <t>No. 62, Jiuhu Road, Jiujiang City, Jiangxi  Province, China, P.C: 332014</t>
  </si>
  <si>
    <t>No62.jiuhu road</t>
  </si>
  <si>
    <t>Mr. Liao Xin Geng</t>
  </si>
  <si>
    <t>xgliao@jjtanbre.com.cn</t>
  </si>
  <si>
    <t>Feng Kaishun</t>
  </si>
  <si>
    <t>tonyzatanb@qq.com</t>
  </si>
  <si>
    <t>801 East Binjiang Road, Jiujiang, Jiangxi, China</t>
  </si>
  <si>
    <t>Mr. Che</t>
  </si>
  <si>
    <t>chejiahe2011@vip.163.com</t>
  </si>
  <si>
    <t>Carlos Salazar 15, 67192 Matamoros, Tamaulipas, Mexico</t>
  </si>
  <si>
    <t>Carlota Garza</t>
  </si>
  <si>
    <t>CarlotaGarza@kemet.com</t>
  </si>
  <si>
    <t>Mexico</t>
  </si>
  <si>
    <t>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</si>
  <si>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Conformant-audited by RMI (members / partners)- valid until 08/19/2022</t>
  </si>
  <si>
    <t>Rodovia BR 383 Km 94, Sao Joao Del Rei, Minas Gerais, Brasil</t>
  </si>
  <si>
    <t>Paulo Fernandes</t>
  </si>
  <si>
    <t>paulo.fernandes@amg-br.com</t>
  </si>
  <si>
    <t>Australia, Bolivia, Brazil, Burundi, Democratic Republic of Congo, Ethiopia, India, Mozambique, Namibia, Nigeria, Rwanda, Sierra Leone, Zimbabwe,Recycled, ScrapUnknow</t>
  </si>
  <si>
    <t>Maharashtra</t>
  </si>
  <si>
    <t>Mr. Mathur Pranav</t>
  </si>
  <si>
    <t>pm@mpil.co.in</t>
  </si>
  <si>
    <t>L1 and L2 countries based on RMAP-RMI's RCOI,Recycled, Scrap,Unknow</t>
  </si>
  <si>
    <t>Mettalurgical Product India Pvt. Ltd. T-27 MIDC Taloja Industiral Area District Raigad, Maharashtra, India</t>
  </si>
  <si>
    <t>MIDC Taloja Industiral Area</t>
  </si>
  <si>
    <t>Pranav Mathur</t>
  </si>
  <si>
    <t>Analia Calmell del Solar Del Rio</t>
  </si>
  <si>
    <t>analia.calmelldelsolar@minsur.com</t>
  </si>
  <si>
    <t>Mineral sourcing L1 based on RMAP-RMI's RCOI data</t>
  </si>
  <si>
    <t>Vila Pitinga s/n, Zona Rural, Presidente Figueiredo, Brazil</t>
  </si>
  <si>
    <t>Ms. Luciana Miranda Pagnoncelli (Commercial Manager)</t>
  </si>
  <si>
    <t>lpagnoncelli@mtaboca.com.br</t>
  </si>
  <si>
    <t>Mineral sourcing LR,R/S from Peru, Chile</t>
  </si>
  <si>
    <t>Mitsui Mining and Smelting Co., Ltd., 2081 Tosen, Oomuta, Fukuoka, Japan</t>
  </si>
  <si>
    <t>Mr. Jun Sugimura</t>
  </si>
  <si>
    <t>j_sugimura@mitsui-kinzoku.co.jp</t>
  </si>
  <si>
    <t>Brazil, Ethiopia, China, Scrap,Recycled, Unknow</t>
  </si>
  <si>
    <t>Burundi,Rwanda</t>
  </si>
  <si>
    <t>Mr. Chen Wu</t>
  </si>
  <si>
    <t>chenw_nniec@otic.com.cn</t>
  </si>
  <si>
    <t>CIF, Kenticha, Nanping, Yichun, Scrap, Scrap</t>
  </si>
  <si>
    <t>Mineral sourcing LR,HR,DRC,CC, from Brazil, Ethiopia, China</t>
  </si>
  <si>
    <t>Ningxia Orient Tantalum Industry Co. Ltd., No. 119 Yejin Road, Dawukou District, Shizuishan City, 753000 Ningxia, China</t>
  </si>
  <si>
    <t>Global Supply Chain,Recycled, Scrap,Unknow</t>
  </si>
  <si>
    <t>Julia Ignatova</t>
  </si>
  <si>
    <t>j.ignatova@neomaterials.com</t>
  </si>
  <si>
    <t>not available</t>
  </si>
  <si>
    <t>2501 Camp Avenue, Carrollton, TX 75006 USA</t>
  </si>
  <si>
    <t>Tim Burrows</t>
  </si>
  <si>
    <t>Tim.Burrows@quantumclean.com</t>
  </si>
  <si>
    <t>R/S</t>
  </si>
  <si>
    <t>Daniel Clemente</t>
  </si>
  <si>
    <t>Desenvolvimento@resind.com.br</t>
  </si>
  <si>
    <t>Conformant-audited by RMI (members / partners)- valid until 05/09/2022</t>
  </si>
  <si>
    <t>Rodovia BR 265 - Km 264 - Distrido Industrial de São João Del Rei - Minas gerais, CEP: 36315-000</t>
  </si>
  <si>
    <t>Marilda Frigieri</t>
  </si>
  <si>
    <t>mfrigieri@terra.com.br</t>
  </si>
  <si>
    <t>Mr. Andrei Kudlai (Head of Marketing)</t>
  </si>
  <si>
    <t>akudlai@smw.ru</t>
  </si>
  <si>
    <t>Mr. Yukihiko Yoshimi</t>
  </si>
  <si>
    <t>yoshimi@takichem.co.jp</t>
  </si>
  <si>
    <t>Conformant-audited by RMI (members / partners)- valid until 09/30/2022</t>
  </si>
  <si>
    <t>Taki Chemical Co. Ltd., 346, Miyanishi, Harima-Cho, Kako-gun, Hyogo-ken, 675-0145, Japan</t>
  </si>
  <si>
    <t>Frank.Habig@taniobis.com</t>
  </si>
  <si>
    <t>Raw material is sourced from multiple conflict-free mines globally.</t>
  </si>
  <si>
    <t>Mineral sourcing LR,CC,DRC,HR from Australia, Bolivia, Brazil, Burundi, Democratic Republic of Congo, Ethiopia, India, Mozambique, Namibia, Nigeria, Rwanda, Sierra Leone, Zimbabwe</t>
  </si>
  <si>
    <t>frank.habig@taniobis.com</t>
  </si>
  <si>
    <t>Raw material is sourced from multiple conflict-free mines globally. Industry standard traceability schemes and other information sources are utilzed. Names and locations of all mines are disclosed to the auditor during the CSI audit.</t>
  </si>
  <si>
    <t>Australia, Bolivia, Brazil, Burundi, Democratic Republic of Congo, Ethiopia, India, Mozambique, Namibia, Nigeria, Rwanda, Sierra Leone, Zimbabwe</t>
  </si>
  <si>
    <t>Conformant-audited by RMI (members / partners)- valid until 11/24/2022</t>
  </si>
  <si>
    <t>Mineral sourcing LR,CC,DRC,HR,R/S from Australia, Bolivia, Brazil, Burundi, Democratic Republic of Congo, Ethiopia, India, Mozambique, Namibia, Nigeria, Rwanda, Sierra Leone, Zimbabwe</t>
  </si>
  <si>
    <t>Mito</t>
  </si>
  <si>
    <t>Minerals sourcing LR,R/S from Australia, Bolivia, Brazil, Burundi, Democratic Republic of Congo, Ethiopia, India, Mozambique, Namibia, Nigeria, Rwanda, Sierra Leone, Zimbabwe</t>
  </si>
  <si>
    <t>Mr. Jim Maguire (General Manager)</t>
  </si>
  <si>
    <t>jim@telexmetals.com</t>
  </si>
  <si>
    <t>Telex Metals LLC, 105/115 Phyllis Drive, Croyden, PA 19021 USA</t>
  </si>
  <si>
    <t>Australia, Bolivia, Brazil, Ethiopia, India, Mozambigue, Rwanda, Sierra Leone, Zimbabwe, Japan, DRC, Katanga, Rwanda, Scrap,Unknow</t>
  </si>
  <si>
    <t>Valerie Domas</t>
  </si>
  <si>
    <t>DomasVV@ulba.kz</t>
  </si>
  <si>
    <t>Kahendwa, Katonge, Kisengo, Kiyambi, Luena, Bitango, Shori,AKANYAMWISHYURA, BITANGO,  GASEKE, GASURA, GIHINGA, KABABARA, NYAMIRAMA, RUKAGARATA, SIMBA, RUSHOKA</t>
  </si>
  <si>
    <t>Mineral sourcing LR,HR,CC,DRC,R/S  from Rwanda, Katanga and Russia</t>
  </si>
  <si>
    <t>102 Abay Avenue</t>
  </si>
  <si>
    <t>East Kazakhstan</t>
  </si>
  <si>
    <t>Andrey Zelenin</t>
  </si>
  <si>
    <t>zeleninav@ulba.kz</t>
  </si>
  <si>
    <t>Ta scrap</t>
  </si>
  <si>
    <t>Japan</t>
  </si>
  <si>
    <t>Andrey Kapustin</t>
  </si>
  <si>
    <t>kapustinAA@ulba.kz</t>
  </si>
  <si>
    <t>Richard Zeng</t>
  </si>
  <si>
    <t>richard@ximeigroup.com</t>
  </si>
  <si>
    <t>Conformant-audited by RMI (members / partners)- valid until 07/02/2022</t>
  </si>
  <si>
    <t>Mineral sourcing LR,HR,DRC,CC,R/S, based on RMAP-RMI's RCOI data</t>
  </si>
  <si>
    <t>Brazil,  Ethiopia,  Nigeria</t>
  </si>
  <si>
    <t>Rencun Industrial Zone, Xinxing County, Yunfu City, Guangdong Province, China</t>
  </si>
  <si>
    <t>Mr. Yongqiang Wang (Vice-General Manager)</t>
  </si>
  <si>
    <t>wyq0099@163.com</t>
  </si>
  <si>
    <t>Mr. Liu Ming</t>
  </si>
  <si>
    <t>liu_ming@richwinchina.com</t>
  </si>
  <si>
    <t>Conformant-audited by RMI (members / partners)- valid until 04/26/2022</t>
  </si>
  <si>
    <t>Mineral sourcing HR, LR based on RMAP-RMI's RCOI data</t>
  </si>
  <si>
    <t>RFH Tantalum Smeltery Co., Ltd (RFH), The Medium &amp; Small Enterprises Development Area, Yanling County, Zhuzhou, Hunan, China</t>
  </si>
  <si>
    <t>美國</t>
  </si>
  <si>
    <t>RMI VALIDATED</t>
  </si>
  <si>
    <t>Dan Weaver</t>
  </si>
  <si>
    <t>dweaver@alent.com</t>
  </si>
  <si>
    <t>Mineral sourcing LR,R/S, Includes Covered Countries and CAHRA</t>
  </si>
  <si>
    <t>CID002825</t>
  </si>
  <si>
    <t>An Thai Minerals Co., Ltd.</t>
  </si>
  <si>
    <t>Nghe An</t>
  </si>
  <si>
    <t>Bernard Rademakers</t>
  </si>
  <si>
    <t>bernard.rademakers@metallo.com</t>
  </si>
  <si>
    <t>RCOI confirmed as per RMI</t>
  </si>
  <si>
    <t>Wei Yang</t>
  </si>
  <si>
    <t>yangwei2907@163.com</t>
  </si>
  <si>
    <t>Gejiu Laochang Tin Mine/Song Shujiao Tin Mine</t>
  </si>
  <si>
    <t>Mineral sourcing L1,R/S from China, Excludes Covered Countries and CAHRA</t>
  </si>
  <si>
    <t>桥口镇下渡村</t>
  </si>
  <si>
    <t>李迎春</t>
  </si>
  <si>
    <t>287232971@qq.com</t>
  </si>
  <si>
    <t>继续供货</t>
  </si>
  <si>
    <t>云锡郴州屋场坪锡矿</t>
  </si>
  <si>
    <t>中国湖南省郴州市</t>
  </si>
  <si>
    <t>Inner Mongolia</t>
  </si>
  <si>
    <t>Mr. Zhao Lizhi (Sale Director)</t>
  </si>
  <si>
    <t>406815194@qq.com; 15248671457@djzxy.com</t>
  </si>
  <si>
    <t>Mineral sourcing L1,R/S from Inner Mongolia</t>
  </si>
  <si>
    <t>Chen Yimin</t>
  </si>
  <si>
    <t>453044610@qq.com</t>
  </si>
  <si>
    <t>Conformant-audited by RMI (members / partners)- valid until 08/10/2022</t>
  </si>
  <si>
    <t>Mineral sourcing LR,R/S, Excludes Covered Countries and CAHRA</t>
  </si>
  <si>
    <t>Guangxi</t>
  </si>
  <si>
    <t>admin@china-tin</t>
  </si>
  <si>
    <t>9 Guizhong Ave</t>
  </si>
  <si>
    <t>None Required - RMI  certified conflict free</t>
  </si>
  <si>
    <t>CID002592</t>
  </si>
  <si>
    <t>CV Dua Sekawan</t>
  </si>
  <si>
    <t>CID000315</t>
  </si>
  <si>
    <t>CV United Smelting</t>
  </si>
  <si>
    <t>Mr. Johanes Irving Tedy</t>
  </si>
  <si>
    <t>utdsmelt@yahoo.com</t>
  </si>
  <si>
    <t>SOLDER BALL-SENJU</t>
  </si>
  <si>
    <t>tokumott@dowa.co.jp</t>
  </si>
  <si>
    <t>Conformant-audited by RMI (members / partners)- valid until 10/30/2023</t>
  </si>
  <si>
    <t>60-1 Otarube Kosaka-machi Kazuno-gun</t>
  </si>
  <si>
    <t>Elmet S.L.U.</t>
  </si>
  <si>
    <t>Marcelo Cespedes</t>
  </si>
  <si>
    <t>marcelo.cespedes@vinto.gob.bo</t>
  </si>
  <si>
    <t>Mineral sourcing L1, Excludes Covered Countries and CAHRA</t>
  </si>
  <si>
    <t>KM 7 CARRETERA A POTOSI</t>
  </si>
  <si>
    <t>Ramiro Villavicencio Nino de Guzman or Ms Miriam Veliz</t>
  </si>
  <si>
    <t>ravinigu@hotmail.com, miriam.veliz@vinto.gob.bo; marcelo.cespedes@vinto.gob.bo</t>
  </si>
  <si>
    <t>Bolivia  State owned &amp; Private Mines</t>
  </si>
  <si>
    <t>Bolivia</t>
  </si>
  <si>
    <t>http://www.vinto.gob.bo/</t>
  </si>
  <si>
    <t>Douglas Cesar de Araujo</t>
  </si>
  <si>
    <t>douglas.araujo@chumbo.com.br</t>
  </si>
  <si>
    <t>RCOI confirmed as per RMI,Unknow</t>
  </si>
  <si>
    <t>Paweł Kupiec (Operations Manager)</t>
  </si>
  <si>
    <t>p.kupiec@fenixmetals.com</t>
  </si>
  <si>
    <t>Some are recycled, scrap sourced but not all.</t>
  </si>
  <si>
    <t>Strefowa 13</t>
  </si>
  <si>
    <t>Paweł Kupiec</t>
  </si>
  <si>
    <t>CID002859</t>
  </si>
  <si>
    <t>Gejiu Jinye Mineral Company</t>
  </si>
  <si>
    <t>Jijie</t>
  </si>
  <si>
    <t>Yunnan</t>
  </si>
  <si>
    <t>Wu Jin</t>
  </si>
  <si>
    <t>wu@gejiumetal.com</t>
  </si>
  <si>
    <t>Gejiu &amp; Yunnan China</t>
  </si>
  <si>
    <t>Mineral sourcing L1 based on RMAP-RMI's RCOI data from China, Excludes Covered Countries and CAHRA</t>
  </si>
  <si>
    <t>个旧有色金属加工有限公司</t>
  </si>
  <si>
    <t>0873-2660866</t>
  </si>
  <si>
    <t>N.A</t>
  </si>
  <si>
    <t>China Tin</t>
  </si>
  <si>
    <t>Gejui China</t>
  </si>
  <si>
    <t>Mr Wu</t>
  </si>
  <si>
    <t>Jijie Town</t>
  </si>
  <si>
    <t>wangjing：021-33606019</t>
  </si>
  <si>
    <t>GeJiu,Yunnan</t>
  </si>
  <si>
    <t>Jijie Town, Gejiu, Honghezizhizhou</t>
  </si>
  <si>
    <t>Wu Yin</t>
  </si>
  <si>
    <t>Concentrate Tin</t>
  </si>
  <si>
    <t>Yes,Compliant with the RMI Program Supply Chain  Smelter</t>
  </si>
  <si>
    <t>红河州个旧市鸡街镇</t>
  </si>
  <si>
    <t>吴家聪</t>
  </si>
  <si>
    <t>Mr. Chen</t>
  </si>
  <si>
    <t>gjyxys@126.com</t>
  </si>
  <si>
    <t>Mineral sourcing L1,R/S, Excludes Covered Countries and CAHRA</t>
  </si>
  <si>
    <t>Ms. Yin Huizhen</t>
  </si>
  <si>
    <t>574247278@qq.com</t>
  </si>
  <si>
    <t>Mineral sourcing L1 based on RMAP-RMI's RCOI data, Excludes Covered Countries and CAHRA</t>
  </si>
  <si>
    <t>Ying Yan</t>
  </si>
  <si>
    <t>36739603@qq.com</t>
  </si>
  <si>
    <t>Guangdong</t>
  </si>
  <si>
    <t>Mr. Peng Xu</t>
  </si>
  <si>
    <t>470977527@qq.com</t>
  </si>
  <si>
    <t>CID000760</t>
  </si>
  <si>
    <t>Huichang Shun Tin Kam Industries, Ltd.</t>
  </si>
  <si>
    <t>Huichang Jinshunda Tin Co., Ltd.</t>
  </si>
  <si>
    <t>Jiangxi Shunda Huichang Kam Tin Co., Ltd.</t>
  </si>
  <si>
    <t>Jiangxi</t>
  </si>
  <si>
    <t>CID000244</t>
  </si>
  <si>
    <t>China Rare Metal Material Co., Ltd.</t>
  </si>
  <si>
    <t>Jiangxi Ketai Advanced Material Co., Ltd.</t>
  </si>
  <si>
    <t>Recycled scrap material</t>
  </si>
  <si>
    <t>Ms. Xiaoting Xie</t>
  </si>
  <si>
    <t>1296619795@qq.com</t>
  </si>
  <si>
    <t>LT METAL CO.,LTD.</t>
  </si>
  <si>
    <t>Olena Wiaderna</t>
  </si>
  <si>
    <t>olena.wiaderna@lunasmelter.com</t>
  </si>
  <si>
    <t>Conformant-audited by RMI (members / partners)- valid until 04/28/2022</t>
  </si>
  <si>
    <t>Includes Covered Countries and CAHRA, Mineral sourcing CC,HR based on RMAP-RMI's RCOI data</t>
  </si>
  <si>
    <t>Ms. Liu Huan</t>
  </si>
  <si>
    <t>164600879@qq.com</t>
  </si>
  <si>
    <t>Fernando Junior</t>
  </si>
  <si>
    <t>fernandojunior@magnusmetais.com.br</t>
  </si>
  <si>
    <t>Conformant-audited by RMI (members / partners)- valid until 04/14/2024</t>
  </si>
  <si>
    <t>Penang</t>
  </si>
  <si>
    <t>Raveentiran a/l Krishnan</t>
  </si>
  <si>
    <t>raveentiran.krishnan@msmelt.com</t>
  </si>
  <si>
    <t>Malaysia Smelting Corporation Berhad</t>
  </si>
  <si>
    <t>DRC, Rwanda, Nigeria,Russia, Brazil,Australia, Malaysia,USA</t>
  </si>
  <si>
    <t>MR. Zaharuddin Zainal</t>
  </si>
  <si>
    <t>zaharuddin@msmelt.com</t>
  </si>
  <si>
    <t>RAHMAN HYDRAULIC TIN SDN BHD</t>
  </si>
  <si>
    <t>Malaysia.Rwanda  the southern Katanga Province of the DRC that is not within the recognised conflict areas of Eastern DRC.</t>
  </si>
  <si>
    <t>Sn plating-Jaujanq</t>
  </si>
  <si>
    <t>raveentiran@msmelt.com</t>
  </si>
  <si>
    <t>Raveentiran Krishnan</t>
  </si>
  <si>
    <t>Rahman Hydraulic Tin Sdn. Bhd.</t>
  </si>
  <si>
    <t>Mineral sourcing L1,HR,CC,DRC,R/S, based on RMAP-RMI's RCOI data from Malaysia and Rwanda, Congo</t>
  </si>
  <si>
    <t>The Great Lakes Mine.
Please refer to iTSCi for list of mines.</t>
  </si>
  <si>
    <t>Malaysia, Australia, 
DRC, Rwanda, Nigeria,
Russia, Brazil</t>
  </si>
  <si>
    <t>Mr.Rosilim Bin Noor</t>
  </si>
  <si>
    <t>roslim@msmelt.com</t>
  </si>
  <si>
    <t>Ommr</t>
  </si>
  <si>
    <t>msc@msmelt.com</t>
  </si>
  <si>
    <t>Malaysia</t>
  </si>
  <si>
    <t>27, Jalan Pantai, 12000</t>
  </si>
  <si>
    <t>27, JALAN PANTAI, 12700</t>
  </si>
  <si>
    <t>owened by Malaysia Smelting Corporation Berhad</t>
  </si>
  <si>
    <t>http://www.responsiblemineralsinitiative.org/tin-conformant-smelters/                                                                                                                            Conflict-Free Smelter Audit Review Committee (ARC) reviewed.</t>
  </si>
  <si>
    <t>http://www.responsiblemineralsinitiative.org/tin-conformant-smelters/                                                                                                                            Conflict-Free Smelter Audit Review Committee (ARC) reviewed.
MSC is compliant with the RMI Program Supply Chain Transparency Smelter Audit Protocol.</t>
  </si>
  <si>
    <t>Shenmao-Pure Tin-H99.99S</t>
  </si>
  <si>
    <t>http://www.responsiblemineralsinitiative.org/tin-conformant-smelters/                     Conflict-Free Smelter Audit Review Committee (ARC) reviewed.</t>
  </si>
  <si>
    <t>27, Jalan Pantai, Butterworth, 12000, Butterworth, Pulan Piang</t>
  </si>
  <si>
    <t>Pure Tin / Jau Janq</t>
  </si>
  <si>
    <t>27,Jalan Pantai</t>
  </si>
  <si>
    <t>Eric Ozan</t>
  </si>
  <si>
    <t>EOZAN@metallicresources.com</t>
  </si>
  <si>
    <t>RCOI confirmed as per RMI recycled</t>
  </si>
  <si>
    <t>Inge Hofkens</t>
  </si>
  <si>
    <t>Inge.Hofkens@metallo.com</t>
  </si>
  <si>
    <t>Conformant-audited by RMI (members / partners)- valid until 06/28/2022</t>
  </si>
  <si>
    <t>Mr.Mark Van Loon</t>
  </si>
  <si>
    <t>mark.vanloon@metallo.com</t>
  </si>
  <si>
    <t>Metallo-Chimique N.V.</t>
  </si>
  <si>
    <t>Brazil,RCOI confirmed as per RMI,Unknow</t>
  </si>
  <si>
    <t>Minercoa Tabboca</t>
  </si>
  <si>
    <t>Mineral sourcing L1 from Sao Paulo Brazil</t>
  </si>
  <si>
    <t>Ronaldo Lasmar</t>
  </si>
  <si>
    <t>ronaldo.lasmar@mtaboca.com.br</t>
  </si>
  <si>
    <t>Ms.Luciana Miranda Pagnoncelli</t>
  </si>
  <si>
    <t>CFS validated</t>
  </si>
  <si>
    <t>RCOI confirmed as per CFSI</t>
  </si>
  <si>
    <t>Solder ball-Senju</t>
  </si>
  <si>
    <t>Estrada Romeiros 21500 km 49</t>
  </si>
  <si>
    <t>Mr. Carlos Alberto Kaiser</t>
  </si>
  <si>
    <t>ckaiser@mtaboca.com.br</t>
  </si>
  <si>
    <t>Sao Paulo Brazil</t>
  </si>
  <si>
    <t>http://www.mtaboca.com.br/port/aempresa-valores.html</t>
  </si>
  <si>
    <t>RCOI confirmed as per RMI,Peru,Unknow</t>
  </si>
  <si>
    <t>Juan Luis Kruger Sayan</t>
  </si>
  <si>
    <t>comunicaciones@minsur.com.pe</t>
  </si>
  <si>
    <t>Tin Mine located in Puno region in the eastern cordillera of the Andes</t>
  </si>
  <si>
    <t>Mr. Jose Ore Rivera</t>
  </si>
  <si>
    <t>Jose.Ore@minsur.com</t>
  </si>
  <si>
    <t>San Rafael, Puno - Peru</t>
  </si>
  <si>
    <t>Mineral sourcing L1 from Puno - Peru</t>
  </si>
  <si>
    <t>Mr. Pio Davila</t>
  </si>
  <si>
    <t>pio.davila@minsur.com</t>
  </si>
  <si>
    <t>San Rafael Mine</t>
  </si>
  <si>
    <t>Peru</t>
  </si>
  <si>
    <t>Ms. Rosa Reategui</t>
  </si>
  <si>
    <t>rosa.reategui@minsur.com</t>
  </si>
  <si>
    <t>Panamericana High Way, Km 238.5 , Pisco</t>
  </si>
  <si>
    <t>Mr. José Oré Rivera</t>
  </si>
  <si>
    <t>jose.ore@minsur.com</t>
  </si>
  <si>
    <t>Puno - Peru</t>
  </si>
  <si>
    <t>http://www.minsur.com/siteAssets/pdf/home/EICC.pdf</t>
  </si>
  <si>
    <t>Conformant-audited by RMI (members / partners)- valid until 08/05/2024</t>
  </si>
  <si>
    <t>Muk Sawarin P.</t>
  </si>
  <si>
    <t>rmi@omthai.co.th</t>
  </si>
  <si>
    <t>Ms. Vangie Punongbayan</t>
  </si>
  <si>
    <t>eb.punongbayan@omp.com.ph</t>
  </si>
  <si>
    <t>SCRAP</t>
  </si>
  <si>
    <t>Operaciones Metalurgical S.A.</t>
  </si>
  <si>
    <t>Mr.Mariano Pero Taborga</t>
  </si>
  <si>
    <t>mpero@omsabo.com</t>
  </si>
  <si>
    <t>Mariano Pero (General Manager)</t>
  </si>
  <si>
    <t>Mineral sourcing LR, Excludes Covered Countries and CAHRA</t>
  </si>
  <si>
    <t>Km 3,5 Carretera a Capachos- Huajara</t>
  </si>
  <si>
    <t>Indonesia,Unknow</t>
  </si>
  <si>
    <t>Isa Suhardiman</t>
  </si>
  <si>
    <t>isa.suhardiman@gmail.com</t>
  </si>
  <si>
    <t>(Offshore) Penyusuk
Luar, Penyusuk Dalam,
Simping &amp; (Onshore)
Batu Rusa.</t>
  </si>
  <si>
    <t>Indonesia</t>
  </si>
  <si>
    <t>Mr. Sam Chandra</t>
  </si>
  <si>
    <t>sam@atdmmj.com</t>
  </si>
  <si>
    <t>Bangka</t>
  </si>
  <si>
    <t>Venny K</t>
  </si>
  <si>
    <t>venny@imligroup.com</t>
  </si>
  <si>
    <t>Jalan Tengah, Dusun Lintang Rt.001/rw.001</t>
  </si>
  <si>
    <t>NURAINI</t>
  </si>
  <si>
    <t>nuraini@imligroup.com</t>
  </si>
  <si>
    <t>―</t>
  </si>
  <si>
    <t>(TAMURA CHEMICAL KOREA CO., LTD.)
LFSOLDER LF-204-15A
LFSOLDER LF-501-11KS</t>
  </si>
  <si>
    <t>Jl. Tengah Dusun Lintang Kec. Simpang Renggiang Kab. Belitung Timur</t>
  </si>
  <si>
    <t>Venny</t>
  </si>
  <si>
    <t>Rudy Sumarli</t>
  </si>
  <si>
    <t>babelsuryaalamlestari@gmail.com</t>
  </si>
  <si>
    <t>Jl. Manggar Tengah RT 016B/005 Kelekak Datuk</t>
  </si>
  <si>
    <t>Belitung Island, Indonesia</t>
  </si>
  <si>
    <t>Gerald Group</t>
  </si>
  <si>
    <t>Indonesa</t>
  </si>
  <si>
    <t>Mr Eri Irwanto</t>
  </si>
  <si>
    <t>eriirwanto@gmail.com</t>
  </si>
  <si>
    <t>BANGAKA TIN</t>
  </si>
  <si>
    <t>Pegantungan</t>
  </si>
  <si>
    <t>Mr.Welly Jusuf</t>
  </si>
  <si>
    <t>wellyjs@gmail.com</t>
  </si>
  <si>
    <t>Jl. Laks Malahayati rt.001 rw.001, Kel. Air Mawar, Kec. Bukit Intan</t>
  </si>
  <si>
    <t>Jl. Malahayati rt.01 rw.01, Kel. Air Mawar, Kec. Bukit Intan, Pangkalpinang 33147</t>
  </si>
  <si>
    <t>CID001434</t>
  </si>
  <si>
    <t>PT DS Jaya Abadi</t>
  </si>
  <si>
    <t>CID001438</t>
  </si>
  <si>
    <t>PT Eunindo Usaha Mandiri</t>
  </si>
  <si>
    <t>Karimun</t>
  </si>
  <si>
    <t>CID002530</t>
  </si>
  <si>
    <t>PT Inti Stania Prima</t>
  </si>
  <si>
    <t>Mr. Achmad Albani</t>
  </si>
  <si>
    <t>albani7878@yahoo.com</t>
  </si>
  <si>
    <t>Conformant-audited by RMI (members / partners)- valid until 03/30/2024</t>
  </si>
  <si>
    <t>Kampit</t>
  </si>
  <si>
    <t>Belitung Island, Banka Belitung, Indonesia</t>
  </si>
  <si>
    <t>Dusun Padang RT07, Desa Mentawak</t>
  </si>
  <si>
    <t>Ulfah</t>
  </si>
  <si>
    <t>ulfah@arsari.co.id</t>
  </si>
  <si>
    <t>Conformant-audited by RMI (members / partners)- valid until 12/02/2022</t>
  </si>
  <si>
    <t>Blok Mapur-Cit, Blok Bemban Utara, Blok Kepuh Utara</t>
  </si>
  <si>
    <t>Mineral sourcing LR from Kab. Bangka, Indonesia/ Kab. Bangka Tengah, Indonesia</t>
  </si>
  <si>
    <t>Mapur</t>
  </si>
  <si>
    <t>Kawasan Industri dan Pelabuhan Air Kantung Jelitik</t>
  </si>
  <si>
    <t>Santosa Prasetija</t>
  </si>
  <si>
    <t>sanpras1205@gmail.com</t>
  </si>
  <si>
    <t>Kab. Bangka, Indonesia/ Kab. Bangka Tengah, Indonesia</t>
  </si>
  <si>
    <t>PT Pelat Timah Nusantara Tbk</t>
  </si>
  <si>
    <t>Santi</t>
  </si>
  <si>
    <t>primatimah@yahoo.com</t>
  </si>
  <si>
    <t>PANGALPINANG</t>
  </si>
  <si>
    <t>MS LIA</t>
  </si>
  <si>
    <t>ptup29@gmail.com</t>
  </si>
  <si>
    <t>Danny Widjaya</t>
  </si>
  <si>
    <t>rajawalirimbaperkasa@gmail.com</t>
  </si>
  <si>
    <t>Leona Srikandi</t>
  </si>
  <si>
    <t>lsrikandi@rbt.co.id</t>
  </si>
  <si>
    <t>meily.tanoto@gmail.com</t>
  </si>
  <si>
    <t>Tin Mine in Indonesia(No Name of Tin Mine)</t>
  </si>
  <si>
    <t>Andy Antofat</t>
  </si>
  <si>
    <t>andy.antofat@dominiontin.com</t>
  </si>
  <si>
    <t>Mineral sourcing LR from Indonesia</t>
  </si>
  <si>
    <t>Pt. Refined Bangka Tin</t>
  </si>
  <si>
    <t>Desa Bukit Layang, Kecamatan Bakam, Kabupaten Bangka, Provinsi Kepulauan Bangka Belitung</t>
  </si>
  <si>
    <t>JI. Kawasan Industri Jelitik Kec. Sungailiat Kab. Bangka</t>
  </si>
  <si>
    <t>Nathan Trotter</t>
  </si>
  <si>
    <t>Plaza Marein 17th Floor, Sudirman Plaza , JL Jendral Sudirman Kav  76-78 , Jakarta 12910</t>
  </si>
  <si>
    <t>Andy Atofat</t>
  </si>
  <si>
    <t>operation@dominiontin.com</t>
  </si>
  <si>
    <t>Jalan Ketapang</t>
  </si>
  <si>
    <t>Aditya Rahmandari</t>
  </si>
  <si>
    <t>adityarahmandari@gmail.com</t>
  </si>
  <si>
    <t>PT Sinar Sejahtera Perkasa and PT Duta Nusa Gemilang</t>
  </si>
  <si>
    <t>Selvira</t>
  </si>
  <si>
    <t>ptstanindointiperkasa@gmail.com</t>
  </si>
  <si>
    <t>Mr.Hardi Salim</t>
  </si>
  <si>
    <t>Aheuw@dsja-tin.com</t>
  </si>
  <si>
    <t>JL.TERUSAN ALEXANDER</t>
  </si>
  <si>
    <t>KIM LI</t>
  </si>
  <si>
    <t>hewkimli@gmail.com</t>
  </si>
  <si>
    <t>Bangka Island</t>
  </si>
  <si>
    <t>PT Sukses Inti Makmur</t>
  </si>
  <si>
    <t>Sungai Samak</t>
  </si>
  <si>
    <t>CID001471</t>
  </si>
  <si>
    <t>PT Sumber Jaya Indah</t>
  </si>
  <si>
    <t>PT Timah (Persero) Tbk Kundur</t>
  </si>
  <si>
    <t>Riau Islands</t>
  </si>
  <si>
    <t>Ms. Diana Budiani Rahmawati</t>
  </si>
  <si>
    <t>PT Timah (Persero) Tbk Mentok</t>
  </si>
  <si>
    <t>Bangka Belitung</t>
  </si>
  <si>
    <t>PT Timah (Persero), Tbk</t>
  </si>
  <si>
    <t>Indonesia,Unknow,RCOI confirmed as per RMI</t>
  </si>
  <si>
    <t>ABRUN ABUBAKAR</t>
  </si>
  <si>
    <t>timah@pt.timah.co.id</t>
  </si>
  <si>
    <t>PT TAMBANG TIMAH</t>
  </si>
  <si>
    <t>BANKGA, INDONESIA</t>
  </si>
  <si>
    <t>Ahmad Fajri Akhinov</t>
  </si>
  <si>
    <t>ahmad.fajri@pttimah.co.id</t>
  </si>
  <si>
    <t>From Karimun,Kundur,Singka,Bangka,Belitung,Kep. Riau and Singkep Mines</t>
  </si>
  <si>
    <t>Jl Hang Tuah No. 4 Prayun Kundur Karimun</t>
  </si>
  <si>
    <t>Mr. Abdul Kamaroes</t>
  </si>
  <si>
    <t>akamaroes@pttimah.co.id</t>
  </si>
  <si>
    <t>Kundur &amp; Singkep Mines</t>
  </si>
  <si>
    <t>Jl. Hang tuah No 04, Prayun, Kundur, Karimun</t>
  </si>
  <si>
    <t>Nono Budi Priyono</t>
  </si>
  <si>
    <t>nono@pttimah.co.id</t>
  </si>
  <si>
    <t>Kep. Riau &amp; Singkep Mines</t>
  </si>
  <si>
    <t>Jl. Jenderal Sudirman 51 Pangkal Pinang</t>
  </si>
  <si>
    <t>Sales - Operations</t>
  </si>
  <si>
    <t>corsec@pttimah.co.id; timah@pt.timah.co.id</t>
  </si>
  <si>
    <t>Kundur, Riau Islands, Indonesia</t>
  </si>
  <si>
    <t>http://www.timah.com/v2/css/img/uploaded/Letter%20of%20statement_24%20maret%202014_2.pdf</t>
  </si>
  <si>
    <t>Indonesia RCOI confirmed as per RMI</t>
  </si>
  <si>
    <t>timah@pttimah.co.id</t>
  </si>
  <si>
    <t>Bangka Belitung Mines</t>
  </si>
  <si>
    <t>Jalan Raya Timah Mentok 33312</t>
  </si>
  <si>
    <t>Bangka &amp; Belitung Mines</t>
  </si>
  <si>
    <t>http://www.responsiblemineralsinitiative.org/tin-conformant-smelters/                                                                                                           Conflict-Free Smelter Audit Review Committee (ARC) reviewed.
PT Timah (Persero) Tbk Mentok  is compliant with the RMI Program Supply Chain Transparency Smelter Audit Protocol.</t>
  </si>
  <si>
    <t>Mentok, Bangka, Beiltung Islands, Indonesia</t>
  </si>
  <si>
    <t>Jl. Jenderal Sudirman 51 Pangkal Pinang 33121, 
Bangka, 
Indonesia</t>
  </si>
  <si>
    <t>Jl. Raya Timah No. 01, sungai baru, Muntok, Bangka Barat</t>
  </si>
  <si>
    <t>Wiyono</t>
  </si>
  <si>
    <t>wiyono@pttimah.co.id</t>
  </si>
  <si>
    <t>Rosalina</t>
  </si>
  <si>
    <t>rosa@tinindo.com</t>
  </si>
  <si>
    <t>Edison Silalahi</t>
  </si>
  <si>
    <t>edisonrs@yahoo.com</t>
  </si>
  <si>
    <t>ketapang air itam</t>
  </si>
  <si>
    <t>Ms Rosi</t>
  </si>
  <si>
    <t>rosi@tinindo.co.in</t>
  </si>
  <si>
    <t>Recycled , Scrap &amp; Tin,Unknow</t>
  </si>
  <si>
    <t>Ariel</t>
  </si>
  <si>
    <t>rdh_49@rdh.com.tw</t>
  </si>
  <si>
    <t>Recaycled, Scrap &amp; Tin</t>
  </si>
  <si>
    <t>Recycled , Scrap &amp; Tin</t>
  </si>
  <si>
    <t>CID001758</t>
  </si>
  <si>
    <t>Soft Metais Ltda.</t>
  </si>
  <si>
    <t>Bebedouro</t>
  </si>
  <si>
    <t>Paulo Toledo</t>
  </si>
  <si>
    <t>paulotoledo@softmetais.com.br</t>
  </si>
  <si>
    <t>CID002834</t>
  </si>
  <si>
    <t>Thai Nguyen Mining and Metallurgy Co., Ltd.</t>
  </si>
  <si>
    <t>Thai Nguyen</t>
  </si>
  <si>
    <t>Le Van Kien</t>
  </si>
  <si>
    <t>lekien75@gmail.com</t>
  </si>
  <si>
    <t>Australia, Brazil, Bolivia, China, Laos, Myanmar, Morocco, Peru, Portugal, Vietnam, Rwanda and DRC,Thailand</t>
  </si>
  <si>
    <t>nick.thorne@thasarco.com</t>
  </si>
  <si>
    <t>Bluestone Mine Tasmania in Australia, Kalonta Mine in Dawei, Myanmar, Heinda Mine in Dawei, Myanmar,Panasqueira, Portugal  For tin ingot, we're only source from CFS Compliant Smelters. For tin concentrates from central Africa, we're only source tagged material through the reputation trading firms and are iTSCi Full Membership.</t>
  </si>
  <si>
    <t>Level 1 countries i.e. Indonesia, South America, South East Asia countries, Level 3 countries i.e. DRC and adjoined countries (including the Democratic Republic of the Congo (DRC), Rwanda, Uganda and Burundi</t>
  </si>
  <si>
    <t>Mr. Warit Choovaree (Commercial Supply &amp; Purchasing Manager)</t>
  </si>
  <si>
    <t>warit@thaisarco.com</t>
  </si>
  <si>
    <t>Bluestone Mine Tasmania,Kalonta Mine,Heinda Mine,PT Sumber Jaya Indah</t>
  </si>
  <si>
    <t>Mineral sourcing LR,CC,HR,DRC,R/S from Indonesia,Tasmania in Australia,Myanmar, the Democratic Republic of the Congo (DRC), Rwanda, Uganda and Burundi</t>
  </si>
  <si>
    <t>Mr.Panya Torchareon</t>
  </si>
  <si>
    <t>Panyator@thaisarco.com</t>
  </si>
  <si>
    <t>80 Moo 8 Sakdidej Road</t>
  </si>
  <si>
    <t>Mr. Andrew Davies</t>
  </si>
  <si>
    <t>andrew.davies@thaisarco.com</t>
  </si>
  <si>
    <t>Name of Mine(s) is as follows:
Bluestone Mine Tasmania in Australia
Panasqueira, Portugal
UIS Mine, Namibia
For tin ingot, we're only source from RMAP Compliant Smelters.
For tin concentrates from central Africa, we're only source tagged material through the reputation trading firms and are iTSCi Full Membership.</t>
  </si>
  <si>
    <t>Level 1 countries i.e. Indonesia, South America, South East Asia countries.
Level 3 countries i.e. DRC and adjoined countries (including the Democratic Republic of the Congo (DRC), Rwanda, Uganda and Burundi.</t>
  </si>
  <si>
    <t>80 Moo 8 Sakdidej Road,</t>
  </si>
  <si>
    <t>80 Moo 8 Sakdidej Road, Tambon Vichit</t>
  </si>
  <si>
    <t>Petcharat Ditkaew</t>
  </si>
  <si>
    <t>petcharat@thaisarco.com</t>
  </si>
  <si>
    <t>www.thaisarco.com</t>
  </si>
  <si>
    <t>CID003215</t>
  </si>
  <si>
    <t>Tianjin Maolian Science &amp; Technology Co., Ltd.</t>
  </si>
  <si>
    <t>Tianjin</t>
  </si>
  <si>
    <t>Ms. Vera Yang</t>
  </si>
  <si>
    <t>sjfw_rs@163.com</t>
  </si>
  <si>
    <t>Conformant-audited by RMI (members / partners)- valid until 11/09/2022</t>
  </si>
  <si>
    <t>Ben Etherington</t>
  </si>
  <si>
    <t>ben@nathantrotter.com</t>
  </si>
  <si>
    <t>Conformant-audited by RMI (members / partners)- valid until 09/25/2022</t>
  </si>
  <si>
    <t>Brazil,Unknow</t>
  </si>
  <si>
    <t>Paulo Amparo</t>
  </si>
  <si>
    <t>gerentegeral.rp@whitesolder.com.br</t>
  </si>
  <si>
    <t>Private Mines in the Ariquemes Rondonia region of Brazil</t>
  </si>
  <si>
    <t>Rodovia 421, Km 1,1 nº 917</t>
  </si>
  <si>
    <t>Mr. Vagner Torrente - President</t>
  </si>
  <si>
    <t>dp@torparticipacoes.com.br</t>
  </si>
  <si>
    <t>Brazil</t>
  </si>
  <si>
    <t>http://www.whitesolder.com.br/images/stories/ws_conflict_english.pdf</t>
  </si>
  <si>
    <t>Huiwen Li</t>
  </si>
  <si>
    <t>026626@ytc.cn</t>
  </si>
  <si>
    <t>Songshujiao Tin mining area</t>
  </si>
  <si>
    <t>Ms. Yang Hongju</t>
  </si>
  <si>
    <t>530426080@qq.com</t>
  </si>
  <si>
    <t>Gejiu Yunnan</t>
  </si>
  <si>
    <t>Mineral sourcing L1 based on RMAP-RMI's RCOI data, from China</t>
  </si>
  <si>
    <t>DaTun town of red soil</t>
  </si>
  <si>
    <t>YANG Hongju</t>
  </si>
  <si>
    <t>yunnansh@126.com</t>
  </si>
  <si>
    <t>Datun Town,</t>
  </si>
  <si>
    <t>No. 1 Yelian Road</t>
  </si>
  <si>
    <t>Red slope of Datun town  Gejiu City, Yunnan Province</t>
  </si>
  <si>
    <t>http://www.responsiblemineralsinitiative.org/tin-conformant-smelters/                                                                                                            Conflict-Free Smelter Audit Review Committee (ARC) reviewed.
Yunnan Chengfeng Non-ferrous Metals Co., Ltd.  is compliant with the RMI Program Supply Chain Transparency Smelter Audit Protocol.</t>
  </si>
  <si>
    <t>冶炼路1号</t>
  </si>
  <si>
    <t>李惠文</t>
  </si>
  <si>
    <t>云锡老厂锡矿/大屯锡矿</t>
  </si>
  <si>
    <t>中国云南省个旧市</t>
  </si>
  <si>
    <t>Yang Wei</t>
  </si>
  <si>
    <t>gfzqb</t>
  </si>
  <si>
    <t>hl@asem.cn</t>
  </si>
  <si>
    <t>zhuzhou smelter group company limited</t>
  </si>
  <si>
    <t>巨聯</t>
  </si>
  <si>
    <t>中國</t>
  </si>
  <si>
    <t>昇贸科技股份有限公司</t>
  </si>
  <si>
    <t>中国</t>
  </si>
  <si>
    <t>芜湖楚江合金铜材有限公司</t>
  </si>
  <si>
    <t>常琪鋁業股份有限公司</t>
  </si>
  <si>
    <t>Taiwan</t>
  </si>
  <si>
    <t>This smelter is RMI Conformant.
http://www.responsiblemineralsinitiative.org/tungsten-smelters-list/</t>
  </si>
  <si>
    <t>Tsukasa Kawakatsu</t>
  </si>
  <si>
    <t>tsukasa-kawakatsu@allied-material.co.jp</t>
  </si>
  <si>
    <t>Mineral sourcing R/S and Mined, based on RMAP-RMI's RCOI data</t>
  </si>
  <si>
    <t>From Brazil and Japan,Unknow</t>
  </si>
  <si>
    <t>Yuri Darian</t>
  </si>
  <si>
    <t>aclmetais@aclmetais.com.br</t>
  </si>
  <si>
    <t>Ms. Li Mei (Tracy) Luo</t>
  </si>
  <si>
    <t>tracy_llm@aliyun.com</t>
  </si>
  <si>
    <t>Some are sourced from cover countries and DRC but not all.</t>
  </si>
  <si>
    <t>Mineral sourcing L1,HR,CC,DRC, based on RMAP-RMI's RCOI data</t>
  </si>
  <si>
    <t>Miss Qi Yin</t>
  </si>
  <si>
    <t>qiyin@minmetals.com</t>
  </si>
  <si>
    <t>Conformant-audited by RMI (members / partners)- valid until 05/23/2022</t>
  </si>
  <si>
    <t>Shizhuyuan Tungsten Mine, Hunan Province</t>
  </si>
  <si>
    <t>Shizhuyuan, Suxian</t>
  </si>
  <si>
    <t>ZhangBo</t>
  </si>
  <si>
    <t>Zhangbo@chinacarbide.com</t>
  </si>
  <si>
    <t>Chenzhou Diamond Tungsten Products Co.,Ltd.</t>
  </si>
  <si>
    <t>Mr. Weng Xiag Cai</t>
  </si>
  <si>
    <t>export@zy-tungsten.com</t>
  </si>
  <si>
    <t>Taoxikeng Tungsten Industry Mine</t>
  </si>
  <si>
    <t>Wubing</t>
  </si>
  <si>
    <t>export1@zy-tungsten.com</t>
  </si>
  <si>
    <t>Chongyi Zhangyuan Tungsten Co,.Ltd. and Taoxikeng Tungsten Industry Mine</t>
  </si>
  <si>
    <t>Mr. Weng Xiang Cai</t>
  </si>
  <si>
    <t>CID003401</t>
  </si>
  <si>
    <t>Fujian Ganmin RareMetal Co., Ltd.</t>
  </si>
  <si>
    <t>Xinyu Liao</t>
  </si>
  <si>
    <t>31832399@qq.com</t>
  </si>
  <si>
    <t>Conformant-audited by RMI (members / partners)- valid until 06/05/2023</t>
  </si>
  <si>
    <t>CID000499</t>
  </si>
  <si>
    <t>Fujian Jinxin Tungsten Co., Ltd.</t>
  </si>
  <si>
    <t>Yanshi</t>
  </si>
  <si>
    <t>CID002645</t>
  </si>
  <si>
    <t>Ganzhou Haichuang Tungsten Co., Ltd.</t>
  </si>
  <si>
    <t>Ms. Huang</t>
  </si>
  <si>
    <t>13426541408@126.com</t>
  </si>
  <si>
    <t>Conformant-audited by RMI (members / partners)- valid until 11/26/2023</t>
  </si>
  <si>
    <t>CID000875</t>
  </si>
  <si>
    <t>Ganzhou Huaxing Tungsten Products Co., Ltd.</t>
  </si>
  <si>
    <t>LI QI MEI</t>
  </si>
  <si>
    <t>dept1@sino-tungsten.com</t>
  </si>
  <si>
    <t>Conformant-audited by RMI (members / partners)- valid until 05/21/2023</t>
  </si>
  <si>
    <t>Ganzhou Dajishan Tungsten Mine</t>
  </si>
  <si>
    <t>Vincent Lau</t>
  </si>
  <si>
    <t>23026897@qq.com</t>
  </si>
  <si>
    <t>Conformant-audited by RMI (members / partners)- valid until 03/12/2024</t>
  </si>
  <si>
    <t>CID000868</t>
  </si>
  <si>
    <t>Ganzhou Non-ferrous Metals Smelting Co., Ltd.</t>
  </si>
  <si>
    <t>Nancy Zhang</t>
  </si>
  <si>
    <t>nancy@sinda-tungsten.com</t>
  </si>
  <si>
    <t>Conformant-audited by RMI (members / partners)- valid until 03/25/2024</t>
  </si>
  <si>
    <t>Ganzhou Haixin Tungsten Products Ltd and Ganzhou Grand Metals Minerals Industry Co.,Ltd.</t>
  </si>
  <si>
    <t>No. 28, Xijin Third Road, Ganzhou High-tech Industrial Development Zone, Gan County District, Ganzhou, Jiangxi,P.R.China</t>
  </si>
  <si>
    <t>nancy@grand-tungsten.com</t>
  </si>
  <si>
    <t>Ganzhou Grand Metals Minerals Industry Co.,Ltd.</t>
  </si>
  <si>
    <t>Paifangxia Team, Chutan Village, Chutan Town, Gan County</t>
  </si>
  <si>
    <t>Nancy Zhang
Rao Yunliang</t>
  </si>
  <si>
    <t>nancy@grand-tungsten.com
raoyl@sinda-tungsten.com</t>
  </si>
  <si>
    <t>N/A, RMI certified smelter</t>
  </si>
  <si>
    <t>1. Ganzhou Grand Metals Minerals Industry Co,.Ltd.
2. Ganzhou Haixin Tungsten Product Ltd</t>
  </si>
  <si>
    <t>RMAP Compliant Conflict-Free Tungsten Smelter</t>
  </si>
  <si>
    <t>Global Tungsten &amp; Powders Corp.</t>
  </si>
  <si>
    <t>This smelter is RMI Conformant.
http://www.responsiblemineralsinitiative.org/tungsten-conformant-smelters/</t>
  </si>
  <si>
    <t>Karin Laursen</t>
  </si>
  <si>
    <t>karin.laursen@globaltungsten.com</t>
  </si>
  <si>
    <t>Recycled and multiple locations</t>
  </si>
  <si>
    <t>Mineral sourcing R/S,CC,HR and Mined from America</t>
  </si>
  <si>
    <t>Mr. Ryan Ding</t>
  </si>
  <si>
    <t>dsj@xl-tungsten.com</t>
  </si>
  <si>
    <t>Conformant-audited by RMI (members / partners)- valid until 10/29/2023</t>
  </si>
  <si>
    <t>Mineral sourcing not disclosed by TI-CMC sourcing</t>
  </si>
  <si>
    <t>Dr. Markus Zumdick</t>
  </si>
  <si>
    <t>markus.zumdick@hcstarck.com</t>
  </si>
  <si>
    <t>Conformant-audited by RMI (members / partners)- valid until 10/06/2024</t>
  </si>
  <si>
    <t>Mineral sourcing R/S and Mined from Australia, Bolivia, Canada, Portugal, Russia, Spain, Vietnam</t>
  </si>
  <si>
    <t>Cici</t>
  </si>
  <si>
    <t>7231684@qq.com</t>
  </si>
  <si>
    <t>CID002579</t>
  </si>
  <si>
    <t>Hunan Chuangda Vanadium Tungsten Co., Ltd. Wuji</t>
  </si>
  <si>
    <t>Mr. Shan Wenzhi</t>
  </si>
  <si>
    <t>ccxyswz@sina.com</t>
  </si>
  <si>
    <t>Lin`an Guanghua mine</t>
  </si>
  <si>
    <t>Hunan</t>
  </si>
  <si>
    <t>Ardan Malatsagaev</t>
  </si>
  <si>
    <t>am@wmcy.ru</t>
  </si>
  <si>
    <t>Mr. Akira Kawaguchi</t>
  </si>
  <si>
    <t>akawaguc@jnm.co.jp</t>
  </si>
  <si>
    <t>Conformant-audited by RMI (members / partners)- valid until 03/17/2024</t>
  </si>
  <si>
    <t>Mr. Kawaguchi</t>
  </si>
  <si>
    <t>Chang Yuzhong</t>
  </si>
  <si>
    <t>marketing@jxtc.com.cn</t>
  </si>
  <si>
    <t>Conformant-audited by RMI (members / partners)- valid until 05/21/2022</t>
  </si>
  <si>
    <t>Ganzhou Piantang Tungsten Mine and Jiangwu H.C. Starck Tungsten Products Co,.Ltd.</t>
  </si>
  <si>
    <t>ZhangGong district, Ganzhou city</t>
  </si>
  <si>
    <t>Chedi Yan</t>
  </si>
  <si>
    <t>zl19881029@qq.com</t>
  </si>
  <si>
    <t>Jiangwu H.C. Starck Tungsten Products Co,.Ltd.</t>
  </si>
  <si>
    <t>Ms. Wang Ling</t>
  </si>
  <si>
    <t>370315969@qq.com</t>
  </si>
  <si>
    <t>dept1@cniecjx.com.cn</t>
  </si>
  <si>
    <t>Conformant-audited by RMI (members / partners)- valid until 05/07/2022</t>
  </si>
  <si>
    <t>Conformant-audited by RMI (members / partners)- valid until 08/23/2022</t>
  </si>
  <si>
    <t>Mike Yang</t>
  </si>
  <si>
    <t>tungsten.export@w.jx.cn</t>
  </si>
  <si>
    <t>Conformant-audited by RMI (members / partners)- valid until 06/04/2022</t>
  </si>
  <si>
    <t>Kevin Cann</t>
  </si>
  <si>
    <t>Kevin.Cann@kennametal.com</t>
  </si>
  <si>
    <t>CID003388</t>
  </si>
  <si>
    <t>KGETS Co., Ltd.</t>
  </si>
  <si>
    <t>Siheung-si</t>
  </si>
  <si>
    <t>Geun Chan Na</t>
  </si>
  <si>
    <t>gcna@kggroup.co.kr</t>
  </si>
  <si>
    <t>David Yen</t>
  </si>
  <si>
    <t>david@lianyoucorp.com</t>
  </si>
  <si>
    <t>Conformant-audited by RMI (members / partners)- valid until 06/09/2023</t>
  </si>
  <si>
    <t>Nanfeng Xiaozhai</t>
  </si>
  <si>
    <t>Liu (Eric) Renfeng</t>
  </si>
  <si>
    <t>liu.renfeng@cxtc.com</t>
  </si>
  <si>
    <t>Conformant-audited by RMI (members / partners)- valid until 05/08/2023</t>
  </si>
  <si>
    <t>Mr. Mirek Banaczkowski</t>
  </si>
  <si>
    <t>Mirek.Banaczkowski@mr.masangroup.com</t>
  </si>
  <si>
    <t>Mineral sourcing HR, CC, R/S, based on RMAP-RMI's RCOI data</t>
  </si>
  <si>
    <t>Suoi Cat Hamlet</t>
  </si>
  <si>
    <t>William Parry-Jones</t>
  </si>
  <si>
    <t>william.parryjones@mht.masangroup.com</t>
  </si>
  <si>
    <t>Nui Phao</t>
  </si>
  <si>
    <t>Vietnam</t>
  </si>
  <si>
    <t>Nui Phao Mine,Unknow</t>
  </si>
  <si>
    <t>German Veisman</t>
  </si>
  <si>
    <t>german@nordmet.ch</t>
  </si>
  <si>
    <t>Recycled and mining not disclosed by supplier listted as conformant Smelter ,Unknow</t>
  </si>
  <si>
    <t>Roger Showalter</t>
  </si>
  <si>
    <t>roger@buffalotungsten.com, roger@niagararefining.com</t>
  </si>
  <si>
    <t>Conformant-audited by RMI (members / partners)- valid until 08/18/2022</t>
  </si>
  <si>
    <t>Mineral sourcing R/S,HR CC,LR and Mined, based on RMAP-RMI's RCOI data</t>
  </si>
  <si>
    <t>not disclosed</t>
  </si>
  <si>
    <t>not applicable</t>
  </si>
  <si>
    <t>listted as conformant Smelter</t>
  </si>
  <si>
    <t>Lily Zhang</t>
  </si>
  <si>
    <t>josephine08@163.com</t>
  </si>
  <si>
    <t>Conformant-audited by RMI (members / partners)- valid until 11/26/2022</t>
  </si>
  <si>
    <t>CID001889</t>
  </si>
  <si>
    <t>Tejing (Vietnam) Tungsten Co., Ltd.</t>
  </si>
  <si>
    <t>Halong City</t>
  </si>
  <si>
    <t>Gennadiy Yu</t>
  </si>
  <si>
    <t>yu@wmcy.ru</t>
  </si>
  <si>
    <t>Mineral sourcing L1,R/S based on RMAP-RMI's RCOI data</t>
  </si>
  <si>
    <t>Steffen Schmidt</t>
  </si>
  <si>
    <t>s.schmidt@wolfram.at</t>
  </si>
  <si>
    <t>Mittersill</t>
  </si>
  <si>
    <t>Mineral sourcing R/S, LR, HR, CC and Mined from Austria</t>
  </si>
  <si>
    <t>China, Philippine,Spain, Rwanda, Vietnam, DRC, Bolivia, Canada,Uknow</t>
  </si>
  <si>
    <t>NingHua XingLuoKeng Tungsten Mining Co., Ltd,A&amp;IR MINING,Yulu</t>
  </si>
  <si>
    <t>Mineral sourcing R/S,HR,DRC,CC, and Mined from China, Russia and Canada</t>
  </si>
  <si>
    <t>Liu Ren Feng</t>
  </si>
  <si>
    <t>Liu.renfeng@cxtc.com</t>
  </si>
  <si>
    <t>-</t>
  </si>
  <si>
    <t>China, Philippine, Spain,Rwanda, Vietnam, DRC, Bolivia</t>
  </si>
  <si>
    <t>Rwanda</t>
  </si>
  <si>
    <t>Fujian</t>
  </si>
  <si>
    <t>Conformant-audited by RMI (members / partners)- valid until 05/25/2023</t>
  </si>
  <si>
    <t>NinHua Xingluokeng Tungsten Mining Co.,Ltd; Luoyang Yulu Mining Co.,Ltd,North American Tungsten Corporation Ltd.,Zijin Mining Co.,Ltd,Xinxhou Mining Co.,Ltd</t>
  </si>
  <si>
    <t>Mineral sourcing R/S and Mined from China and Canada</t>
  </si>
  <si>
    <t>Ning Hua Xingluokeng Tungsten Mining Co.,Ltd
Luoyang Yulu Mining Co.,Ltd
Zijin Mining Co.,Ltd
Xinxhou Mining Co.,Ltd
Xianglushan Mine</t>
  </si>
  <si>
    <t>China
China
China
China
China</t>
  </si>
  <si>
    <t>16F, No.619, South Hubin Road,</t>
  </si>
  <si>
    <t>Jinsui Chen
Liu Renfeng</t>
  </si>
  <si>
    <t>chen.jinsui@cxtc.com
liu.renfeng@cxtc.com</t>
  </si>
  <si>
    <t>1. Ninhua Xingluokeng Tungsten Mining Co.,Ltd
2. Luoyang Yulu Mining Co., Ltd</t>
  </si>
  <si>
    <t>NO.300, KEJING SHE,HAICANG DISTRICT</t>
  </si>
  <si>
    <t>LIU RENFENG</t>
  </si>
  <si>
    <t>LIU.RENFENG@CXTC.COM</t>
  </si>
  <si>
    <t>Xingluokeng</t>
  </si>
  <si>
    <t>CID002830</t>
  </si>
  <si>
    <t>Xinfeng Huarui Tungsten &amp; Molybdenum New Material Co., Ltd.</t>
  </si>
  <si>
    <t>Yvette</t>
  </si>
  <si>
    <t>251106295@qq.com</t>
  </si>
  <si>
    <t>Conformant-audited by RMI (members / partners)- valid until 08/13/2022</t>
  </si>
  <si>
    <t>CID002095</t>
  </si>
  <si>
    <t>Xinhai Rendan Shaoguan Tungsten Co., Ltd.</t>
  </si>
  <si>
    <t>Shaoguan</t>
  </si>
  <si>
    <t>TSC Auto ID Technology Co., Ltd.</t>
  </si>
  <si>
    <t>9F., No.95, Minquan Rd., Xindian Dist., New Taipei City 231, Taiwan (R.O.C.)</t>
  </si>
  <si>
    <t>Winson Lin</t>
  </si>
  <si>
    <t>winson_lin@tscprinters.com</t>
  </si>
  <si>
    <t>+886-3-9906677 Ext.5419</t>
  </si>
  <si>
    <t>Melson Lai</t>
  </si>
  <si>
    <t>Quality Dept.  Manager</t>
  </si>
  <si>
    <t>melson_lai@tscprinters.com</t>
  </si>
  <si>
    <t>+886-3-9906677 Ext.5411</t>
  </si>
  <si>
    <t>Due Diligence 3TG Supplier Source</t>
  </si>
  <si>
    <t>https://apac.tscprinters.com/en/responsible-minerals</t>
    <phoneticPr fontId="8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</si>
</sst>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09]mmmm\ d\,\ yyyy;@"/>
    <numFmt numFmtId="177" formatCode="[$-409]d\-mmm\-yyyy;@"/>
    <numFmt numFmtId="178" formatCode="0.0"/>
  </numFmts>
  <fonts count="84">
    <font>
      <sz val="10"/>
      <name val="Verdana"/>
      <family val="2"/>
    </font>
    <font>
      <sz val="11"/>
      <color theme="1"/>
      <name val="新細明體"/>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新細明體"/>
      <family val="3"/>
      <charset val="128"/>
      <scheme val="minor"/>
    </font>
    <font>
      <sz val="10"/>
      <color theme="1"/>
      <name val="ＭＳ Ｐゴシック"/>
      <family val="3"/>
      <charset val="128"/>
    </font>
    <font>
      <sz val="11"/>
      <color theme="1"/>
      <name val="ＭＳ Ｐゴシック"/>
      <family val="3"/>
      <charset val="128"/>
    </font>
    <font>
      <sz val="12"/>
      <color theme="1"/>
      <name val="新細明體"/>
      <family val="3"/>
      <charset val="128"/>
      <scheme val="minor"/>
    </font>
    <font>
      <b/>
      <sz val="11"/>
      <color rgb="FF3F3F3F"/>
      <name val="新細明體"/>
      <family val="3"/>
      <charset val="128"/>
      <scheme val="minor"/>
    </font>
    <font>
      <sz val="18"/>
      <color theme="3"/>
      <name val="新細明體"/>
      <family val="3"/>
      <charset val="128"/>
      <scheme val="major"/>
    </font>
    <font>
      <b/>
      <sz val="11"/>
      <color theme="1"/>
      <name val="新細明體"/>
      <family val="3"/>
      <charset val="128"/>
      <scheme val="minor"/>
    </font>
    <font>
      <sz val="11"/>
      <color rgb="FFFF0000"/>
      <name val="新細明體"/>
      <family val="3"/>
      <charset val="128"/>
      <scheme val="minor"/>
    </font>
    <font>
      <sz val="10"/>
      <color theme="1"/>
      <name val="Verdana"/>
      <family val="2"/>
    </font>
    <font>
      <sz val="10"/>
      <color theme="0" tint="-0.34995574816125979"/>
      <name val="Verdana"/>
      <family val="2"/>
    </font>
    <font>
      <sz val="11"/>
      <name val="新細明體"/>
      <family val="3"/>
      <charset val="128"/>
      <scheme val="minor"/>
    </font>
    <font>
      <sz val="10"/>
      <color rgb="FFFF0000"/>
      <name val="Verdana"/>
      <family val="2"/>
    </font>
    <font>
      <u/>
      <sz val="10"/>
      <color indexed="12"/>
      <name val="新細明體"/>
      <family val="3"/>
      <charset val="128"/>
      <scheme val="major"/>
    </font>
    <font>
      <sz val="10"/>
      <name val="新細明體"/>
      <family val="3"/>
      <charset val="128"/>
      <scheme val="major"/>
    </font>
    <font>
      <u/>
      <sz val="12"/>
      <color indexed="12"/>
      <name val="新細明體"/>
      <family val="3"/>
      <charset val="128"/>
      <scheme val="major"/>
    </font>
    <font>
      <sz val="12"/>
      <name val="新細明體"/>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新細明體"/>
      <family val="3"/>
      <charset val="128"/>
      <scheme val="minor"/>
    </font>
    <font>
      <sz val="12"/>
      <name val="Arial"/>
      <family val="2"/>
    </font>
    <font>
      <sz val="11"/>
      <name val="ＭＳ Ｐゴシック"/>
      <family val="2"/>
    </font>
    <font>
      <sz val="11"/>
      <color rgb="FF000000"/>
      <name val="Calibri"/>
      <family val="2"/>
    </font>
    <font>
      <sz val="11"/>
      <name val="新細明體"/>
      <family val="2"/>
      <scheme val="minor"/>
    </font>
    <font>
      <b/>
      <sz val="8"/>
      <name val="Cambria"/>
      <family val="1"/>
    </font>
    <font>
      <sz val="9"/>
      <name val="細明體"/>
      <family val="3"/>
      <charset val="136"/>
    </font>
  </fonts>
  <fills count="9">
    <fill>
      <patternFill patternType="none"/>
    </fill>
    <fill>
      <patternFill patternType="gray125"/>
    </fill>
    <fill>
      <patternFill patternType="solid">
        <fgColor theme="7" tint="0.59996337778862885"/>
        <bgColor indexed="64"/>
      </patternFill>
    </fill>
    <fill>
      <patternFill patternType="solid">
        <fgColor rgb="FFF2F2F2"/>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2">
    <border>
      <left/>
      <right/>
      <top/>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97">
    <xf numFmtId="0" fontId="0" fillId="0" borderId="0" applyAlignment="0"/>
    <xf numFmtId="0" fontId="8" fillId="0" borderId="0" applyAlignment="0">
      <protection locked="0"/>
    </xf>
    <xf numFmtId="176" fontId="2" fillId="0" borderId="0" applyAlignment="0"/>
    <xf numFmtId="0" fontId="74" fillId="0" borderId="0" applyAlignment="0"/>
    <xf numFmtId="0" fontId="74" fillId="0" borderId="0" applyAlignment="0"/>
    <xf numFmtId="176" fontId="2"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2" fillId="0" borderId="0" applyAlignment="0"/>
    <xf numFmtId="0" fontId="2" fillId="0" borderId="0" applyAlignment="0"/>
    <xf numFmtId="0" fontId="2" fillId="0" borderId="0" applyAlignment="0"/>
    <xf numFmtId="176" fontId="2" fillId="0" borderId="0" applyAlignment="0"/>
    <xf numFmtId="0" fontId="7" fillId="0" borderId="0" applyAlignment="0"/>
    <xf numFmtId="176" fontId="74" fillId="0" borderId="0" applyAlignment="0"/>
    <xf numFmtId="0" fontId="55" fillId="0" borderId="0" applyAlignment="0"/>
    <xf numFmtId="0" fontId="55" fillId="0" borderId="0" applyAlignment="0"/>
    <xf numFmtId="176" fontId="7" fillId="0" borderId="0" applyAlignment="0"/>
    <xf numFmtId="0" fontId="55" fillId="0" borderId="0" applyAlignment="0"/>
    <xf numFmtId="0" fontId="7" fillId="0" borderId="0" applyAlignment="0"/>
    <xf numFmtId="0" fontId="55" fillId="0" borderId="0" applyAlignment="0"/>
    <xf numFmtId="0" fontId="56" fillId="0" borderId="0" applyAlignment="0">
      <alignment vertical="center"/>
    </xf>
    <xf numFmtId="176" fontId="2" fillId="0" borderId="0" applyAlignment="0"/>
    <xf numFmtId="0" fontId="57" fillId="0" borderId="0" applyAlignment="0"/>
    <xf numFmtId="0" fontId="55" fillId="0" borderId="0" applyAlignment="0"/>
    <xf numFmtId="0" fontId="74" fillId="0" borderId="0" applyAlignment="0"/>
    <xf numFmtId="0" fontId="57"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74" fillId="0" borderId="0" applyAlignment="0"/>
    <xf numFmtId="0" fontId="55" fillId="0" borderId="0" applyAlignment="0"/>
    <xf numFmtId="0" fontId="74" fillId="0" borderId="0" applyAlignment="0"/>
    <xf numFmtId="0" fontId="55"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57" fillId="0" borderId="0" applyAlignment="0"/>
    <xf numFmtId="0" fontId="57" fillId="0" borderId="0" applyAlignment="0"/>
    <xf numFmtId="0" fontId="55"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55" fillId="0" borderId="0" applyAlignment="0"/>
    <xf numFmtId="0" fontId="55" fillId="0" borderId="0" applyAlignment="0"/>
    <xf numFmtId="176" fontId="2" fillId="0" borderId="0" applyAlignment="0"/>
    <xf numFmtId="176" fontId="2" fillId="0" borderId="0" applyAlignment="0"/>
    <xf numFmtId="0" fontId="58" fillId="0" borderId="0" applyAlignment="0"/>
    <xf numFmtId="0" fontId="74" fillId="0" borderId="0" applyAlignment="0"/>
    <xf numFmtId="0" fontId="10" fillId="0" borderId="0" applyAlignment="0"/>
    <xf numFmtId="0" fontId="55" fillId="4" borderId="1" applyAlignment="0"/>
    <xf numFmtId="0" fontId="59" fillId="3" borderId="2" applyAlignment="0"/>
    <xf numFmtId="9" fontId="10" fillId="0" borderId="0" applyAlignment="0"/>
    <xf numFmtId="0" fontId="74"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2" fillId="0" borderId="0" applyAlignment="0"/>
    <xf numFmtId="0" fontId="60" fillId="0" borderId="0" applyAlignment="0"/>
    <xf numFmtId="0" fontId="61" fillId="0" borderId="3" applyAlignment="0"/>
    <xf numFmtId="0" fontId="62" fillId="0" borderId="0" applyAlignment="0"/>
    <xf numFmtId="176" fontId="10" fillId="0" borderId="0" applyAlignment="0"/>
    <xf numFmtId="0" fontId="74" fillId="0" borderId="0" applyAlignment="0"/>
    <xf numFmtId="0" fontId="74" fillId="0" borderId="0" applyAlignment="0"/>
    <xf numFmtId="0" fontId="74" fillId="0" borderId="0" applyAlignment="0"/>
    <xf numFmtId="176" fontId="74" fillId="0" borderId="0" applyAlignment="0"/>
    <xf numFmtId="0" fontId="1" fillId="0" borderId="0" applyAlignment="0"/>
  </cellStyleXfs>
  <cellXfs count="409">
    <xf numFmtId="0" fontId="0" fillId="0" borderId="0" xfId="0"/>
    <xf numFmtId="0" fontId="15" fillId="5" borderId="4" xfId="0" applyFont="1" applyFill="1" applyBorder="1" applyAlignment="1">
      <alignment horizontal="center" vertical="center"/>
    </xf>
    <xf numFmtId="0" fontId="25" fillId="5" borderId="5" xfId="74" applyFont="1" applyFill="1" applyBorder="1" applyAlignment="1">
      <alignment horizontal="center" vertical="top" wrapText="1"/>
    </xf>
    <xf numFmtId="0" fontId="0" fillId="5" borderId="0" xfId="0" applyFill="1"/>
    <xf numFmtId="0" fontId="11" fillId="5" borderId="0" xfId="0" applyFont="1" applyFill="1" applyAlignment="1">
      <alignment horizontal="center" vertical="center"/>
    </xf>
    <xf numFmtId="0" fontId="9" fillId="5" borderId="0" xfId="0" applyFont="1" applyFill="1"/>
    <xf numFmtId="0" fontId="14" fillId="5" borderId="0" xfId="0" applyFont="1" applyFill="1" applyAlignment="1">
      <alignment horizontal="center" vertical="center" wrapText="1"/>
    </xf>
    <xf numFmtId="0" fontId="0" fillId="5" borderId="6" xfId="0" applyFill="1" applyBorder="1" applyAlignment="1">
      <alignment vertical="top" wrapText="1"/>
    </xf>
    <xf numFmtId="0" fontId="0" fillId="5" borderId="7" xfId="0" applyFill="1" applyBorder="1" applyAlignment="1">
      <alignment vertical="top" wrapText="1"/>
    </xf>
    <xf numFmtId="0" fontId="0" fillId="5" borderId="8" xfId="0" applyFill="1" applyBorder="1"/>
    <xf numFmtId="0" fontId="11" fillId="5" borderId="0" xfId="0" applyFont="1" applyFill="1" applyAlignment="1">
      <alignment vertical="center"/>
    </xf>
    <xf numFmtId="0" fontId="17" fillId="5" borderId="0" xfId="0" applyFont="1" applyFill="1" applyAlignment="1">
      <alignment horizontal="left" wrapText="1"/>
    </xf>
    <xf numFmtId="0" fontId="15" fillId="5" borderId="0" xfId="0" applyFont="1" applyFill="1" applyAlignment="1">
      <alignment vertical="center"/>
    </xf>
    <xf numFmtId="0" fontId="15" fillId="5" borderId="0" xfId="0" applyFont="1" applyFill="1" applyAlignment="1">
      <alignment horizontal="center" vertical="center"/>
    </xf>
    <xf numFmtId="0" fontId="0" fillId="5" borderId="0" xfId="0" applyFill="1" applyAlignment="1">
      <alignment vertical="top"/>
    </xf>
    <xf numFmtId="0" fontId="9" fillId="5" borderId="0" xfId="0" applyFont="1" applyFill="1" applyProtection="1">
      <protection locked="0" hidden="1"/>
    </xf>
    <xf numFmtId="0" fontId="11" fillId="5" borderId="0" xfId="0" applyFont="1" applyFill="1" applyAlignment="1" applyProtection="1">
      <alignment horizontal="center" vertical="top"/>
      <protection locked="0" hidden="1"/>
    </xf>
    <xf numFmtId="0" fontId="11" fillId="5" borderId="0" xfId="0" applyFont="1" applyFill="1" applyAlignment="1" applyProtection="1">
      <alignment vertical="center"/>
      <protection locked="0" hidden="1"/>
    </xf>
    <xf numFmtId="0" fontId="15" fillId="5" borderId="0" xfId="0" applyFont="1" applyFill="1" applyAlignment="1" applyProtection="1">
      <alignment horizontal="left" wrapText="1"/>
      <protection locked="0" hidden="1"/>
    </xf>
    <xf numFmtId="0" fontId="0" fillId="0" borderId="0" xfId="0" applyProtection="1">
      <protection locked="0" hidden="1"/>
    </xf>
    <xf numFmtId="0" fontId="0" fillId="0" borderId="0" xfId="0" applyAlignment="1" applyProtection="1">
      <alignment wrapText="1"/>
      <protection locked="0" hidden="1"/>
    </xf>
    <xf numFmtId="0" fontId="0" fillId="5" borderId="0" xfId="0" applyFill="1" applyProtection="1">
      <protection locked="0" hidden="1"/>
    </xf>
    <xf numFmtId="0" fontId="14" fillId="5" borderId="0" xfId="0" applyFont="1" applyFill="1" applyAlignment="1" applyProtection="1">
      <alignment horizontal="right" vertical="center"/>
      <protection locked="0" hidden="1"/>
    </xf>
    <xf numFmtId="0" fontId="11" fillId="5" borderId="9" xfId="0" applyFont="1" applyFill="1" applyBorder="1" applyAlignment="1" applyProtection="1">
      <alignment vertical="center" wrapText="1"/>
      <protection locked="0" hidden="1"/>
    </xf>
    <xf numFmtId="0" fontId="11" fillId="5" borderId="10" xfId="0" applyFont="1" applyFill="1" applyBorder="1" applyAlignment="1" applyProtection="1">
      <alignment vertical="center" wrapText="1"/>
      <protection locked="0" hidden="1"/>
    </xf>
    <xf numFmtId="0" fontId="0" fillId="5" borderId="10" xfId="0" applyFill="1" applyBorder="1" applyAlignment="1">
      <alignment horizontal="center"/>
    </xf>
    <xf numFmtId="0" fontId="0" fillId="5" borderId="11" xfId="0" applyFill="1" applyBorder="1" applyAlignment="1">
      <alignment horizontal="center"/>
    </xf>
    <xf numFmtId="0" fontId="25" fillId="5" borderId="12" xfId="74" applyFont="1" applyFill="1" applyBorder="1" applyAlignment="1">
      <alignment vertical="top" wrapText="1"/>
    </xf>
    <xf numFmtId="176" fontId="25" fillId="5" borderId="12" xfId="74" applyNumberFormat="1" applyFont="1" applyFill="1" applyBorder="1" applyAlignment="1">
      <alignment horizontal="center" vertical="top" wrapText="1"/>
    </xf>
    <xf numFmtId="0" fontId="11" fillId="5" borderId="0" xfId="0" applyFont="1" applyFill="1" applyAlignment="1">
      <alignment horizontal="left"/>
    </xf>
    <xf numFmtId="0" fontId="14" fillId="5" borderId="0" xfId="0" applyFont="1" applyFill="1" applyAlignment="1">
      <alignment horizontal="left"/>
    </xf>
    <xf numFmtId="0" fontId="37" fillId="5" borderId="13" xfId="74" applyFont="1" applyFill="1" applyBorder="1" applyAlignment="1">
      <alignment horizontal="center" vertical="center" wrapText="1"/>
    </xf>
    <xf numFmtId="0" fontId="37" fillId="5" borderId="14" xfId="74" applyFont="1" applyFill="1" applyBorder="1" applyAlignment="1">
      <alignment horizontal="center" vertical="center" wrapText="1"/>
    </xf>
    <xf numFmtId="0" fontId="0" fillId="5" borderId="13" xfId="0" applyFill="1" applyBorder="1"/>
    <xf numFmtId="0" fontId="0" fillId="5" borderId="9" xfId="0" applyFill="1" applyBorder="1" applyAlignment="1">
      <alignment vertical="top" wrapText="1"/>
    </xf>
    <xf numFmtId="0" fontId="11" fillId="5" borderId="15" xfId="0" applyFont="1" applyFill="1" applyBorder="1" applyAlignment="1">
      <alignment vertical="center"/>
    </xf>
    <xf numFmtId="0" fontId="3" fillId="5" borderId="10" xfId="0" applyFont="1" applyFill="1" applyBorder="1" applyAlignment="1">
      <alignment vertical="center"/>
    </xf>
    <xf numFmtId="0" fontId="18" fillId="5" borderId="16" xfId="0" applyFont="1" applyFill="1" applyBorder="1" applyAlignment="1" applyProtection="1">
      <alignment horizontal="center" vertical="center"/>
      <protection locked="0" hidden="1"/>
    </xf>
    <xf numFmtId="0" fontId="11" fillId="5" borderId="17" xfId="0" applyFont="1" applyFill="1" applyBorder="1" applyAlignment="1">
      <alignment vertical="center"/>
    </xf>
    <xf numFmtId="0" fontId="3" fillId="5" borderId="18" xfId="0" applyFont="1" applyFill="1" applyBorder="1" applyAlignment="1">
      <alignment vertical="center"/>
    </xf>
    <xf numFmtId="0" fontId="14" fillId="5" borderId="16" xfId="0" applyFont="1" applyFill="1" applyBorder="1" applyAlignment="1" applyProtection="1">
      <alignment horizontal="right" vertical="center"/>
      <protection locked="0" hidden="1"/>
    </xf>
    <xf numFmtId="0" fontId="11" fillId="5" borderId="9" xfId="0" applyFont="1" applyFill="1" applyBorder="1" applyAlignment="1">
      <alignment vertical="center"/>
    </xf>
    <xf numFmtId="0" fontId="11" fillId="5" borderId="19" xfId="0" applyFont="1" applyFill="1" applyBorder="1" applyAlignment="1">
      <alignment vertical="center"/>
    </xf>
    <xf numFmtId="0" fontId="3" fillId="5" borderId="20" xfId="0" applyFont="1" applyFill="1" applyBorder="1" applyAlignment="1">
      <alignment vertical="center"/>
    </xf>
    <xf numFmtId="0" fontId="14" fillId="5" borderId="21" xfId="0" applyFont="1" applyFill="1" applyBorder="1" applyAlignment="1" applyProtection="1">
      <alignment wrapText="1"/>
      <protection locked="0" hidden="1"/>
    </xf>
    <xf numFmtId="0" fontId="0" fillId="6" borderId="13" xfId="0" applyFill="1" applyBorder="1"/>
    <xf numFmtId="0" fontId="14" fillId="5" borderId="22" xfId="0" applyFont="1" applyFill="1" applyBorder="1" applyAlignment="1" applyProtection="1">
      <alignment horizontal="right" vertical="center"/>
      <protection locked="0" hidden="1"/>
    </xf>
    <xf numFmtId="0" fontId="30" fillId="5" borderId="0" xfId="0" applyFont="1" applyFill="1" applyAlignment="1">
      <alignment horizontal="right" vertical="center"/>
    </xf>
    <xf numFmtId="0" fontId="31" fillId="5" borderId="0" xfId="0" applyFont="1" applyFill="1" applyAlignment="1">
      <alignment vertical="center"/>
    </xf>
    <xf numFmtId="0" fontId="11" fillId="5" borderId="23" xfId="0" applyFont="1" applyFill="1" applyBorder="1" applyAlignment="1">
      <alignment vertical="center"/>
    </xf>
    <xf numFmtId="0" fontId="31" fillId="5" borderId="21" xfId="0" applyFont="1" applyFill="1" applyBorder="1" applyAlignment="1">
      <alignment vertical="center"/>
    </xf>
    <xf numFmtId="0" fontId="11" fillId="5" borderId="24" xfId="0" applyFont="1" applyFill="1" applyBorder="1" applyAlignment="1">
      <alignment vertical="center"/>
    </xf>
    <xf numFmtId="2" fontId="14" fillId="5" borderId="4" xfId="0" applyNumberFormat="1" applyFont="1" applyFill="1" applyBorder="1" applyAlignment="1" applyProtection="1">
      <alignment horizontal="left" wrapText="1"/>
      <protection locked="0" hidden="1"/>
    </xf>
    <xf numFmtId="0" fontId="14" fillId="5" borderId="22" xfId="0" applyFont="1" applyFill="1" applyBorder="1" applyAlignment="1" applyProtection="1">
      <alignment horizontal="left"/>
      <protection locked="0" hidden="1"/>
    </xf>
    <xf numFmtId="0" fontId="15" fillId="5" borderId="4" xfId="0" applyFont="1" applyFill="1" applyBorder="1" applyAlignment="1">
      <alignment horizontal="left" vertical="center"/>
    </xf>
    <xf numFmtId="0" fontId="3" fillId="5" borderId="25" xfId="0" applyFont="1" applyFill="1" applyBorder="1" applyAlignment="1">
      <alignment vertical="center"/>
    </xf>
    <xf numFmtId="0" fontId="15" fillId="5" borderId="16" xfId="0" applyFont="1" applyFill="1" applyBorder="1" applyAlignment="1" applyProtection="1">
      <alignment vertical="center" wrapText="1"/>
      <protection locked="0" hidden="1"/>
    </xf>
    <xf numFmtId="0" fontId="15" fillId="5" borderId="15" xfId="0" applyFont="1" applyFill="1" applyBorder="1" applyAlignment="1">
      <alignment vertical="center"/>
    </xf>
    <xf numFmtId="0" fontId="15" fillId="5" borderId="4" xfId="0" applyFont="1" applyFill="1" applyBorder="1" applyAlignment="1" applyProtection="1">
      <alignment vertical="center" wrapText="1"/>
      <protection locked="0" hidden="1"/>
    </xf>
    <xf numFmtId="2" fontId="16" fillId="5" borderId="4" xfId="0" applyNumberFormat="1" applyFont="1" applyFill="1" applyBorder="1" applyAlignment="1" applyProtection="1">
      <alignment horizontal="left" wrapText="1"/>
      <protection locked="0" hidden="1"/>
    </xf>
    <xf numFmtId="0" fontId="15" fillId="5" borderId="4" xfId="0" applyFont="1" applyFill="1" applyBorder="1" applyAlignment="1">
      <alignment vertical="center"/>
    </xf>
    <xf numFmtId="0" fontId="15" fillId="5" borderId="4" xfId="0" applyFont="1" applyFill="1" applyBorder="1" applyAlignment="1" applyProtection="1">
      <alignment horizontal="center" vertical="center" wrapText="1"/>
      <protection locked="0" hidden="1"/>
    </xf>
    <xf numFmtId="0" fontId="3" fillId="5" borderId="11" xfId="0" applyFont="1" applyFill="1" applyBorder="1" applyAlignment="1">
      <alignment vertical="center"/>
    </xf>
    <xf numFmtId="0" fontId="4" fillId="5" borderId="16" xfId="0" applyFont="1" applyFill="1" applyBorder="1" applyAlignment="1" applyProtection="1">
      <alignment horizontal="left" vertical="top" wrapText="1"/>
      <protection locked="0" hidden="1"/>
    </xf>
    <xf numFmtId="0" fontId="9" fillId="0" borderId="0" xfId="93" applyFont="1"/>
    <xf numFmtId="0" fontId="74" fillId="0" borderId="0" xfId="93"/>
    <xf numFmtId="0" fontId="22" fillId="0" borderId="0" xfId="1" applyFont="1" applyFill="1" applyAlignment="1" applyProtection="1">
      <alignment horizontal="center"/>
      <protection locked="0" hidden="1"/>
    </xf>
    <xf numFmtId="0" fontId="22" fillId="0" borderId="0" xfId="1" applyFont="1" applyFill="1" applyAlignment="1" applyProtection="1">
      <alignment horizontal="center" wrapText="1"/>
      <protection locked="0" hidden="1"/>
    </xf>
    <xf numFmtId="0" fontId="4" fillId="0" borderId="0" xfId="0" applyFont="1" applyAlignment="1" applyProtection="1">
      <alignment horizontal="center"/>
      <protection locked="0" hidden="1"/>
    </xf>
    <xf numFmtId="0" fontId="26" fillId="0" borderId="0" xfId="0" applyFont="1" applyProtection="1">
      <protection locked="0" hidden="1"/>
    </xf>
    <xf numFmtId="3" fontId="0" fillId="6" borderId="0" xfId="0" applyNumberFormat="1" applyFill="1" applyProtection="1">
      <protection locked="0" hidden="1"/>
    </xf>
    <xf numFmtId="0" fontId="0" fillId="6" borderId="0" xfId="0" applyFill="1" applyProtection="1">
      <protection locked="0" hidden="1"/>
    </xf>
    <xf numFmtId="0" fontId="14" fillId="5" borderId="21" xfId="0" applyFont="1" applyFill="1" applyBorder="1" applyAlignment="1" applyProtection="1">
      <alignment horizontal="center" wrapText="1"/>
      <protection locked="0" hidden="1"/>
    </xf>
    <xf numFmtId="0" fontId="14" fillId="5" borderId="23" xfId="0" applyFont="1" applyFill="1" applyBorder="1" applyAlignment="1" applyProtection="1">
      <alignment horizontal="right" vertical="center"/>
      <protection locked="0" hidden="1"/>
    </xf>
    <xf numFmtId="0" fontId="0" fillId="5" borderId="9" xfId="0" applyFill="1" applyBorder="1"/>
    <xf numFmtId="0" fontId="0" fillId="5" borderId="26" xfId="0" applyFill="1" applyBorder="1"/>
    <xf numFmtId="0" fontId="11" fillId="5" borderId="27" xfId="0" applyFont="1" applyFill="1" applyBorder="1" applyAlignment="1" applyProtection="1">
      <alignment vertical="center"/>
      <protection locked="0" hidden="1"/>
    </xf>
    <xf numFmtId="0" fontId="11" fillId="5" borderId="15" xfId="0" applyFont="1" applyFill="1" applyBorder="1" applyAlignment="1" applyProtection="1">
      <alignment vertical="center"/>
      <protection locked="0" hidden="1"/>
    </xf>
    <xf numFmtId="0" fontId="11" fillId="5" borderId="28" xfId="0" applyFont="1" applyFill="1" applyBorder="1" applyAlignment="1" applyProtection="1">
      <alignment vertical="center"/>
      <protection locked="0" hidden="1"/>
    </xf>
    <xf numFmtId="0" fontId="14" fillId="5" borderId="0" xfId="0" applyFont="1" applyFill="1" applyAlignment="1" applyProtection="1">
      <alignment wrapText="1"/>
      <protection locked="0" hidden="1"/>
    </xf>
    <xf numFmtId="0" fontId="11" fillId="5" borderId="0" xfId="0" applyFont="1" applyFill="1" applyAlignment="1" applyProtection="1">
      <alignment horizontal="left" vertical="center"/>
      <protection locked="0" hidden="1"/>
    </xf>
    <xf numFmtId="2" fontId="14" fillId="5" borderId="22" xfId="0" applyNumberFormat="1" applyFont="1" applyFill="1" applyBorder="1" applyAlignment="1" applyProtection="1">
      <alignment horizontal="left" vertical="center" wrapText="1"/>
      <protection locked="0" hidden="1"/>
    </xf>
    <xf numFmtId="0" fontId="15" fillId="5" borderId="4" xfId="0" applyFont="1" applyFill="1" applyBorder="1" applyAlignment="1" applyProtection="1">
      <alignment horizontal="left" vertical="center"/>
      <protection locked="0" hidden="1"/>
    </xf>
    <xf numFmtId="0" fontId="17" fillId="5" borderId="21" xfId="0" applyFont="1" applyFill="1" applyBorder="1" applyAlignment="1" applyProtection="1">
      <alignment horizontal="left" vertical="center" wrapText="1"/>
      <protection locked="0" hidden="1"/>
    </xf>
    <xf numFmtId="0" fontId="30" fillId="5" borderId="0" xfId="0" applyFont="1" applyFill="1" applyAlignment="1" applyProtection="1">
      <alignment horizontal="right" vertical="center"/>
      <protection locked="0" hidden="1"/>
    </xf>
    <xf numFmtId="0" fontId="15" fillId="5" borderId="22" xfId="0" applyFont="1" applyFill="1" applyBorder="1" applyAlignment="1" applyProtection="1">
      <alignment horizontal="center" vertical="center"/>
      <protection locked="0" hidden="1"/>
    </xf>
    <xf numFmtId="0" fontId="15" fillId="5" borderId="22" xfId="0" applyFont="1" applyFill="1" applyBorder="1" applyAlignment="1" applyProtection="1">
      <alignment horizontal="left" vertical="center"/>
      <protection locked="0" hidden="1"/>
    </xf>
    <xf numFmtId="0" fontId="15" fillId="5" borderId="0" xfId="0" applyFont="1" applyFill="1" applyAlignment="1" applyProtection="1">
      <alignment horizontal="center" vertical="center"/>
      <protection locked="0" hidden="1"/>
    </xf>
    <xf numFmtId="0" fontId="15" fillId="5" borderId="0" xfId="0" applyFont="1" applyFill="1" applyAlignment="1" applyProtection="1">
      <alignment horizontal="left" vertical="center"/>
      <protection locked="0" hidden="1"/>
    </xf>
    <xf numFmtId="0" fontId="0" fillId="0" borderId="13" xfId="0" applyBorder="1" applyAlignment="1" applyProtection="1">
      <alignment horizontal="left" vertical="center" wrapText="1"/>
      <protection locked="0" hidden="1"/>
    </xf>
    <xf numFmtId="0" fontId="0" fillId="0" borderId="13" xfId="0" applyBorder="1" applyAlignment="1" applyProtection="1">
      <alignment horizontal="left" vertical="center"/>
      <protection locked="0" hidden="1"/>
    </xf>
    <xf numFmtId="177" fontId="0" fillId="0" borderId="13" xfId="0" applyNumberFormat="1" applyBorder="1" applyAlignment="1" applyProtection="1">
      <alignment horizontal="left" vertical="center" wrapText="1"/>
      <protection locked="0" hidden="1"/>
    </xf>
    <xf numFmtId="0" fontId="0" fillId="1" borderId="13" xfId="0" applyFill="1" applyBorder="1" applyAlignment="1" applyProtection="1">
      <alignment horizontal="left" vertical="center" wrapText="1"/>
      <protection locked="0" hidden="1"/>
    </xf>
    <xf numFmtId="1" fontId="0" fillId="0" borderId="0" xfId="0" applyNumberFormat="1" applyProtection="1">
      <protection locked="0" hidden="1"/>
    </xf>
    <xf numFmtId="1" fontId="0" fillId="6" borderId="0" xfId="0" applyNumberFormat="1" applyFill="1" applyProtection="1">
      <protection locked="0" hidden="1"/>
    </xf>
    <xf numFmtId="0" fontId="8" fillId="0" borderId="13" xfId="1" applyBorder="1" applyAlignment="1" applyProtection="1">
      <alignment vertical="center" wrapText="1"/>
      <protection locked="0" hidden="1"/>
    </xf>
    <xf numFmtId="0" fontId="0" fillId="1" borderId="13" xfId="0" applyFill="1" applyBorder="1" applyAlignment="1" applyProtection="1">
      <alignment vertical="center" wrapText="1"/>
      <protection locked="0" hidden="1"/>
    </xf>
    <xf numFmtId="0" fontId="8" fillId="0" borderId="13" xfId="1" applyFill="1" applyBorder="1" applyAlignment="1" applyProtection="1">
      <alignment vertical="center" wrapText="1"/>
      <protection locked="0" hidden="1"/>
    </xf>
    <xf numFmtId="0" fontId="15" fillId="5" borderId="16"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locked="0" hidden="1"/>
    </xf>
    <xf numFmtId="0" fontId="5" fillId="0" borderId="0" xfId="0" applyFont="1" applyAlignment="1">
      <alignment wrapText="1"/>
    </xf>
    <xf numFmtId="0" fontId="5" fillId="0" borderId="0" xfId="0" applyFont="1"/>
    <xf numFmtId="0" fontId="4" fillId="0" borderId="29" xfId="0" applyFont="1" applyBorder="1" applyAlignment="1" applyProtection="1">
      <alignment vertical="center" wrapText="1"/>
      <protection locked="0" hidden="1"/>
    </xf>
    <xf numFmtId="0" fontId="22" fillId="0" borderId="29" xfId="1" applyFont="1" applyBorder="1" applyAlignment="1" applyProtection="1">
      <alignment horizontal="center"/>
      <protection locked="0" hidden="1"/>
    </xf>
    <xf numFmtId="0" fontId="4" fillId="0" borderId="30" xfId="0" applyFont="1" applyBorder="1" applyAlignment="1" applyProtection="1">
      <alignment vertical="center" wrapText="1"/>
      <protection locked="0" hidden="1"/>
    </xf>
    <xf numFmtId="0" fontId="33" fillId="0" borderId="29" xfId="0" applyFont="1" applyBorder="1" applyAlignment="1" applyProtection="1">
      <alignment vertical="center" wrapText="1"/>
      <protection locked="0" hidden="1"/>
    </xf>
    <xf numFmtId="0" fontId="5" fillId="7" borderId="29" xfId="0" applyFont="1" applyFill="1" applyBorder="1" applyAlignment="1" applyProtection="1">
      <alignment wrapText="1"/>
      <protection locked="0" hidden="1"/>
    </xf>
    <xf numFmtId="0" fontId="5" fillId="7" borderId="29" xfId="0" applyFont="1" applyFill="1" applyBorder="1" applyProtection="1">
      <protection locked="0"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9" xfId="0" applyFont="1" applyBorder="1" applyAlignment="1">
      <alignment wrapText="1"/>
    </xf>
    <xf numFmtId="0" fontId="0" fillId="0" borderId="0" xfId="0" applyAlignment="1">
      <alignment vertical="top" wrapText="1"/>
    </xf>
    <xf numFmtId="0" fontId="5" fillId="0" borderId="9"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9" xfId="0" applyFont="1" applyBorder="1" applyAlignment="1">
      <alignment wrapText="1"/>
    </xf>
    <xf numFmtId="0" fontId="32" fillId="0" borderId="0" xfId="0" applyFont="1" applyAlignment="1">
      <alignment horizontal="right" wrapText="1"/>
    </xf>
    <xf numFmtId="0" fontId="34" fillId="5" borderId="8" xfId="0" applyFont="1" applyFill="1" applyBorder="1" applyAlignment="1" applyProtection="1">
      <alignment horizontal="center" vertical="center" wrapText="1"/>
      <protection locked="0" hidden="1"/>
    </xf>
    <xf numFmtId="0" fontId="40" fillId="0" borderId="0" xfId="0" applyFont="1" applyAlignment="1" applyProtection="1">
      <alignment horizontal="center" wrapText="1"/>
      <protection locked="0" hidden="1"/>
    </xf>
    <xf numFmtId="0" fontId="11" fillId="5" borderId="0" xfId="0" applyFont="1" applyFill="1" applyAlignment="1" applyProtection="1">
      <alignment horizontal="center" vertical="center" wrapText="1"/>
      <protection locked="0" hidden="1"/>
    </xf>
    <xf numFmtId="0" fontId="8" fillId="0" borderId="0" xfId="1" applyFill="1" applyAlignment="1" applyProtection="1">
      <alignment horizontal="center"/>
      <protection locked="0" hidden="1"/>
    </xf>
    <xf numFmtId="0" fontId="41" fillId="5" borderId="27" xfId="1" applyFont="1" applyFill="1" applyBorder="1" applyAlignment="1" applyProtection="1">
      <alignment horizontal="left" vertical="center"/>
      <protection locked="0" hidden="1"/>
    </xf>
    <xf numFmtId="0" fontId="42" fillId="5" borderId="0" xfId="1" applyFont="1" applyFill="1" applyAlignment="1" applyProtection="1">
      <alignment vertical="center"/>
    </xf>
    <xf numFmtId="0" fontId="42" fillId="5" borderId="0" xfId="1" applyFont="1" applyFill="1" applyBorder="1" applyAlignment="1" applyProtection="1">
      <alignment horizontal="center" vertical="center"/>
      <protection locked="0" hidden="1"/>
    </xf>
    <xf numFmtId="0" fontId="43" fillId="0" borderId="21" xfId="1" applyFont="1" applyFill="1" applyBorder="1" applyAlignment="1" applyProtection="1">
      <alignment horizontal="center"/>
      <protection locked="0" hidden="1"/>
    </xf>
    <xf numFmtId="0" fontId="45" fillId="5" borderId="32" xfId="0" applyFont="1" applyFill="1" applyBorder="1" applyAlignment="1" applyProtection="1">
      <alignment horizontal="center" vertical="center" wrapText="1"/>
      <protection locked="0" hidden="1"/>
    </xf>
    <xf numFmtId="0" fontId="45" fillId="5" borderId="0" xfId="0" applyFont="1" applyFill="1" applyAlignment="1" applyProtection="1">
      <alignment horizontal="center" vertical="center" wrapText="1"/>
      <protection locked="0" hidden="1"/>
    </xf>
    <xf numFmtId="0" fontId="11" fillId="5" borderId="33" xfId="0" applyFont="1" applyFill="1" applyBorder="1" applyAlignment="1" applyProtection="1">
      <alignment vertical="center" wrapText="1"/>
      <protection locked="0"/>
    </xf>
    <xf numFmtId="0" fontId="11" fillId="5" borderId="34" xfId="0" applyFont="1" applyFill="1" applyBorder="1" applyAlignment="1" applyProtection="1">
      <alignment vertical="center" wrapText="1"/>
      <protection locked="0"/>
    </xf>
    <xf numFmtId="0" fontId="11" fillId="5" borderId="26" xfId="0" applyFont="1" applyFill="1" applyBorder="1" applyAlignment="1" applyProtection="1">
      <alignment vertical="center" wrapText="1"/>
      <protection locked="0"/>
    </xf>
    <xf numFmtId="0" fontId="14" fillId="5" borderId="9" xfId="0" applyFont="1" applyFill="1" applyBorder="1" applyAlignment="1" applyProtection="1">
      <alignment horizontal="center" wrapText="1"/>
      <protection locked="0"/>
    </xf>
    <xf numFmtId="0" fontId="14" fillId="5" borderId="35" xfId="0" applyFont="1" applyFill="1" applyBorder="1" applyAlignment="1" applyProtection="1">
      <alignment horizontal="center" wrapText="1"/>
      <protection locked="0" hidden="1"/>
    </xf>
    <xf numFmtId="0" fontId="11" fillId="5" borderId="32" xfId="0" applyFont="1" applyFill="1" applyBorder="1" applyAlignment="1" applyProtection="1">
      <alignment vertical="center"/>
      <protection locked="0" hidden="1"/>
    </xf>
    <xf numFmtId="0" fontId="36" fillId="5" borderId="9" xfId="0" applyFont="1" applyFill="1" applyBorder="1" applyAlignment="1">
      <alignment vertical="top" wrapText="1"/>
    </xf>
    <xf numFmtId="0" fontId="18" fillId="5" borderId="23" xfId="0" applyFont="1" applyFill="1" applyBorder="1" applyAlignment="1" applyProtection="1">
      <alignment horizontal="right" wrapText="1"/>
      <protection locked="0" hidden="1"/>
    </xf>
    <xf numFmtId="0" fontId="12" fillId="5" borderId="36" xfId="0" applyFont="1" applyFill="1" applyBorder="1" applyAlignment="1">
      <alignment vertical="center" wrapText="1"/>
    </xf>
    <xf numFmtId="0" fontId="4" fillId="5" borderId="16" xfId="0" applyFont="1" applyFill="1" applyBorder="1" applyAlignment="1" applyProtection="1">
      <alignment horizontal="left" wrapText="1"/>
      <protection locked="0" hidden="1"/>
    </xf>
    <xf numFmtId="0" fontId="52" fillId="0" borderId="0" xfId="0" applyFont="1" applyAlignment="1" applyProtection="1">
      <alignment horizontal="right" wrapText="1"/>
      <protection locked="0" hidden="1"/>
    </xf>
    <xf numFmtId="0" fontId="4" fillId="0" borderId="37" xfId="0" applyFont="1" applyBorder="1" applyAlignment="1" applyProtection="1">
      <alignment horizontal="center"/>
      <protection locked="0" hidden="1"/>
    </xf>
    <xf numFmtId="0" fontId="38" fillId="0" borderId="0" xfId="0" applyFont="1" applyProtection="1">
      <protection locked="0" hidden="1"/>
    </xf>
    <xf numFmtId="2" fontId="25" fillId="5" borderId="5" xfId="74" applyNumberFormat="1" applyFont="1" applyFill="1" applyBorder="1" applyAlignment="1">
      <alignment horizontal="center" vertical="top" wrapText="1"/>
    </xf>
    <xf numFmtId="0" fontId="25" fillId="5" borderId="12" xfId="74" applyFont="1" applyFill="1" applyBorder="1" applyAlignment="1">
      <alignment horizontal="center" vertical="top" wrapText="1"/>
    </xf>
    <xf numFmtId="0" fontId="50" fillId="0" borderId="0" xfId="0" applyFont="1" applyAlignment="1">
      <alignment vertical="top" wrapText="1"/>
    </xf>
    <xf numFmtId="0" fontId="14" fillId="5" borderId="35" xfId="0" applyFont="1" applyFill="1" applyBorder="1" applyAlignment="1" applyProtection="1">
      <alignment horizontal="center" vertical="center" wrapText="1"/>
      <protection locked="0" hidden="1"/>
    </xf>
    <xf numFmtId="0" fontId="14" fillId="5" borderId="38" xfId="0" applyFont="1" applyFill="1" applyBorder="1" applyAlignment="1" applyProtection="1">
      <alignment horizontal="center" vertical="center" wrapText="1"/>
      <protection locked="0" hidden="1"/>
    </xf>
    <xf numFmtId="0" fontId="4" fillId="0" borderId="29" xfId="0" applyFont="1" applyBorder="1" applyAlignment="1" applyProtection="1">
      <alignment vertical="top" wrapText="1"/>
      <protection locked="0" hidden="1"/>
    </xf>
    <xf numFmtId="0" fontId="49" fillId="0" borderId="0" xfId="0" applyFont="1"/>
    <xf numFmtId="0" fontId="0" fillId="8" borderId="0" xfId="0" applyFill="1" applyProtection="1">
      <protection locked="0" hidden="1"/>
    </xf>
    <xf numFmtId="0" fontId="25" fillId="0" borderId="13" xfId="0" applyFont="1" applyBorder="1" applyAlignment="1">
      <alignment vertical="top" wrapText="1"/>
    </xf>
    <xf numFmtId="178" fontId="25" fillId="5" borderId="5" xfId="74"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locked="0" hidden="1"/>
    </xf>
    <xf numFmtId="0" fontId="38" fillId="0" borderId="0" xfId="0" applyFont="1" applyAlignment="1" applyProtection="1">
      <alignment horizontal="center" vertical="center" wrapText="1"/>
      <protection locked="0" hidden="1"/>
    </xf>
    <xf numFmtId="0" fontId="0" fillId="0" borderId="39" xfId="0" applyBorder="1"/>
    <xf numFmtId="0" fontId="63" fillId="2" borderId="0" xfId="0" applyFont="1" applyFill="1" applyProtection="1">
      <protection locked="0" hidden="1"/>
    </xf>
    <xf numFmtId="0" fontId="53" fillId="0" borderId="0" xfId="0" applyFont="1" applyAlignment="1">
      <alignment vertical="top" wrapText="1"/>
    </xf>
    <xf numFmtId="0" fontId="4" fillId="8" borderId="29" xfId="0" applyFont="1" applyFill="1" applyBorder="1" applyAlignment="1" applyProtection="1">
      <alignment vertical="center" wrapText="1"/>
      <protection locked="0" hidden="1"/>
    </xf>
    <xf numFmtId="0" fontId="11" fillId="5" borderId="40" xfId="0" applyFont="1" applyFill="1" applyBorder="1" applyAlignment="1" applyProtection="1">
      <alignment horizontal="center" vertical="center" wrapText="1"/>
      <protection locked="0" hidden="1"/>
    </xf>
    <xf numFmtId="0" fontId="11" fillId="5" borderId="41" xfId="0" applyFont="1" applyFill="1" applyBorder="1" applyAlignment="1" applyProtection="1">
      <alignment horizontal="center" vertical="center" wrapText="1"/>
      <protection locked="0" hidden="1"/>
    </xf>
    <xf numFmtId="0" fontId="0" fillId="0" borderId="0" xfId="0" applyAlignment="1" applyProtection="1">
      <alignment horizontal="center" vertical="center" wrapText="1"/>
      <protection locked="0" hidden="1"/>
    </xf>
    <xf numFmtId="2" fontId="25" fillId="5" borderId="13" xfId="74" applyNumberFormat="1" applyFont="1" applyFill="1" applyBorder="1" applyAlignment="1">
      <alignment horizontal="center" vertical="top" wrapText="1"/>
    </xf>
    <xf numFmtId="176" fontId="25" fillId="5" borderId="13" xfId="74" applyNumberFormat="1" applyFont="1" applyFill="1" applyBorder="1" applyAlignment="1">
      <alignment horizontal="center" vertical="top" wrapText="1"/>
    </xf>
    <xf numFmtId="0" fontId="64" fillId="8" borderId="13" xfId="0" applyFont="1" applyFill="1" applyBorder="1" applyAlignment="1" applyProtection="1">
      <alignment horizontal="left" vertical="center" wrapText="1"/>
      <protection locked="0" hidden="1"/>
    </xf>
    <xf numFmtId="0" fontId="25" fillId="5" borderId="12" xfId="74" applyFont="1" applyFill="1" applyBorder="1" applyAlignment="1">
      <alignment vertical="center" wrapText="1"/>
    </xf>
    <xf numFmtId="0" fontId="25" fillId="5" borderId="42" xfId="74" applyFont="1" applyFill="1" applyBorder="1" applyAlignment="1">
      <alignment vertical="top" wrapText="1"/>
    </xf>
    <xf numFmtId="0" fontId="25" fillId="5" borderId="43" xfId="74" applyFont="1" applyFill="1" applyBorder="1" applyAlignment="1">
      <alignment vertical="top" wrapText="1"/>
    </xf>
    <xf numFmtId="0" fontId="6" fillId="0" borderId="5" xfId="0" applyFont="1" applyBorder="1" applyAlignment="1">
      <alignment wrapText="1"/>
    </xf>
    <xf numFmtId="0" fontId="25" fillId="5" borderId="12" xfId="74" applyFont="1" applyFill="1" applyBorder="1" applyAlignment="1">
      <alignment horizontal="left" vertical="top" wrapText="1"/>
    </xf>
    <xf numFmtId="0" fontId="6" fillId="0" borderId="12" xfId="0" applyFont="1" applyBorder="1" applyAlignment="1">
      <alignment vertical="top" wrapText="1"/>
    </xf>
    <xf numFmtId="0" fontId="25" fillId="5" borderId="13" xfId="74" applyFont="1" applyFill="1" applyBorder="1" applyAlignment="1">
      <alignment vertical="top" wrapText="1"/>
    </xf>
    <xf numFmtId="0" fontId="47" fillId="5" borderId="44" xfId="0" applyFont="1" applyFill="1" applyBorder="1" applyAlignment="1" applyProtection="1">
      <alignment horizontal="center" vertical="center" wrapText="1"/>
      <protection locked="0" hidden="1"/>
    </xf>
    <xf numFmtId="0" fontId="47" fillId="0" borderId="45" xfId="0" applyFont="1" applyBorder="1" applyAlignment="1" applyProtection="1">
      <alignment horizontal="center" vertical="center" wrapText="1"/>
      <protection locked="0" hidden="1"/>
    </xf>
    <xf numFmtId="0" fontId="35" fillId="0" borderId="46" xfId="0" applyFont="1" applyBorder="1" applyAlignment="1" applyProtection="1">
      <alignment vertical="center" wrapText="1"/>
      <protection locked="0" hidden="1"/>
    </xf>
    <xf numFmtId="0" fontId="53" fillId="0" borderId="0" xfId="0" applyFont="1" applyAlignment="1">
      <alignment horizontal="left" vertical="top" wrapText="1"/>
    </xf>
    <xf numFmtId="176" fontId="0" fillId="5" borderId="7" xfId="0" applyNumberFormat="1" applyFill="1" applyBorder="1" applyAlignment="1">
      <alignment vertical="top" wrapText="1"/>
    </xf>
    <xf numFmtId="176" fontId="0" fillId="5" borderId="0" xfId="0" applyNumberFormat="1" applyFill="1"/>
    <xf numFmtId="176" fontId="9" fillId="5" borderId="0" xfId="0" applyNumberFormat="1" applyFont="1" applyFill="1"/>
    <xf numFmtId="176" fontId="14" fillId="5" borderId="0" xfId="0" applyNumberFormat="1" applyFont="1" applyFill="1" applyAlignment="1">
      <alignment horizontal="center" vertical="center" wrapText="1"/>
    </xf>
    <xf numFmtId="176" fontId="11" fillId="5" borderId="0" xfId="0" applyNumberFormat="1" applyFont="1" applyFill="1" applyAlignment="1">
      <alignment horizontal="center" vertical="center"/>
    </xf>
    <xf numFmtId="176" fontId="27" fillId="5" borderId="14" xfId="74" applyNumberFormat="1" applyFont="1" applyFill="1" applyBorder="1" applyAlignment="1">
      <alignment horizontal="center" vertical="center" wrapText="1"/>
    </xf>
    <xf numFmtId="176" fontId="0" fillId="0" borderId="0" xfId="0" applyNumberFormat="1"/>
    <xf numFmtId="0" fontId="0" fillId="5" borderId="13"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hidden="1"/>
    </xf>
    <xf numFmtId="0" fontId="0" fillId="5" borderId="47" xfId="0" applyFill="1" applyBorder="1" applyAlignment="1" applyProtection="1">
      <alignment horizontal="left" vertical="center" wrapText="1"/>
      <protection locked="0" hidden="1"/>
    </xf>
    <xf numFmtId="0" fontId="0" fillId="5" borderId="36" xfId="0" applyFill="1" applyBorder="1" applyAlignment="1" applyProtection="1">
      <alignment horizontal="left" vertical="center" wrapText="1"/>
      <protection locked="0" hidden="1"/>
    </xf>
    <xf numFmtId="0" fontId="0" fillId="5" borderId="36" xfId="0" applyFill="1" applyBorder="1" applyAlignment="1" applyProtection="1">
      <alignment horizontal="left" vertical="center" wrapText="1"/>
      <protection locked="0"/>
    </xf>
    <xf numFmtId="0" fontId="0" fillId="0" borderId="13" xfId="0" applyBorder="1" applyAlignment="1" applyProtection="1">
      <alignment vertical="center" wrapText="1"/>
      <protection locked="0" hidden="1"/>
    </xf>
    <xf numFmtId="0" fontId="12" fillId="0" borderId="46" xfId="0" applyFont="1" applyBorder="1" applyAlignment="1" applyProtection="1">
      <alignment vertical="center" wrapText="1"/>
      <protection locked="0" hidden="1"/>
    </xf>
    <xf numFmtId="9" fontId="15" fillId="5" borderId="16" xfId="0" applyNumberFormat="1" applyFont="1" applyFill="1" applyBorder="1" applyAlignment="1" applyProtection="1">
      <alignment horizontal="left" vertical="center" wrapText="1"/>
      <protection locked="0"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locked="0" hidden="1"/>
    </xf>
    <xf numFmtId="0" fontId="0" fillId="0" borderId="0" xfId="0" applyAlignment="1" applyProtection="1">
      <alignment vertical="center"/>
      <protection locked="0" hidden="1"/>
    </xf>
    <xf numFmtId="0" fontId="11" fillId="5" borderId="22" xfId="0" applyFont="1" applyFill="1" applyBorder="1" applyAlignment="1" applyProtection="1">
      <alignment vertical="center" wrapText="1"/>
      <protection locked="0" hidden="1"/>
    </xf>
    <xf numFmtId="0" fontId="11" fillId="5" borderId="47" xfId="0" applyFont="1" applyFill="1" applyBorder="1" applyAlignment="1" applyProtection="1">
      <alignment vertical="center" wrapText="1"/>
      <protection locked="0" hidden="1"/>
    </xf>
    <xf numFmtId="0" fontId="44" fillId="5" borderId="0" xfId="1" applyFont="1" applyFill="1" applyBorder="1" applyAlignment="1" applyProtection="1">
      <alignment horizontal="center" vertical="center" wrapText="1"/>
      <protection locked="0" hidden="1"/>
    </xf>
    <xf numFmtId="0" fontId="11" fillId="5" borderId="48" xfId="0" applyFont="1" applyFill="1" applyBorder="1" applyAlignment="1" applyProtection="1">
      <alignment vertical="center" wrapText="1"/>
      <protection locked="0" hidden="1"/>
    </xf>
    <xf numFmtId="0" fontId="11" fillId="5" borderId="0" xfId="0" applyFont="1" applyFill="1" applyAlignment="1" applyProtection="1">
      <alignment vertical="center" wrapText="1"/>
      <protection locked="0" hidden="1"/>
    </xf>
    <xf numFmtId="0" fontId="46" fillId="5" borderId="0" xfId="0" applyFont="1" applyFill="1" applyAlignment="1" applyProtection="1">
      <alignment horizontal="center" vertical="center" wrapText="1"/>
      <protection locked="0" hidden="1"/>
    </xf>
    <xf numFmtId="0" fontId="14" fillId="5" borderId="48" xfId="0" applyFont="1" applyFill="1" applyBorder="1" applyAlignment="1" applyProtection="1">
      <alignment horizontal="center" vertical="center" wrapText="1"/>
      <protection locked="0" hidden="1"/>
    </xf>
    <xf numFmtId="0" fontId="11" fillId="0" borderId="0" xfId="0" applyFont="1" applyAlignment="1" applyProtection="1">
      <alignment horizontal="center" vertical="center" wrapText="1"/>
      <protection locked="0" hidden="1"/>
    </xf>
    <xf numFmtId="0" fontId="28" fillId="0" borderId="0" xfId="0" applyFont="1" applyAlignment="1" applyProtection="1">
      <alignment vertical="center" wrapText="1"/>
      <protection locked="0"/>
    </xf>
    <xf numFmtId="178" fontId="25" fillId="5" borderId="13" xfId="74" applyNumberFormat="1" applyFont="1" applyFill="1" applyBorder="1" applyAlignment="1">
      <alignment horizontal="center" vertical="top" wrapText="1"/>
    </xf>
    <xf numFmtId="0" fontId="5" fillId="0" borderId="29" xfId="0" applyFont="1" applyBorder="1" applyAlignment="1" applyProtection="1">
      <alignment vertical="top" wrapText="1"/>
      <protection locked="0" hidden="1"/>
    </xf>
    <xf numFmtId="9" fontId="65"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locked="0"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8" borderId="13" xfId="0" applyFont="1" applyFill="1" applyBorder="1" applyAlignment="1">
      <alignment vertical="center" wrapText="1"/>
    </xf>
    <xf numFmtId="0" fontId="53" fillId="8" borderId="13" xfId="6" applyFont="1" applyFill="1" applyBorder="1" applyAlignment="1">
      <alignment vertical="center" wrapText="1"/>
    </xf>
    <xf numFmtId="9" fontId="0" fillId="8" borderId="13" xfId="0" applyNumberFormat="1" applyFill="1" applyBorder="1" applyAlignment="1">
      <alignment vertical="center" wrapText="1"/>
    </xf>
    <xf numFmtId="0" fontId="14" fillId="5" borderId="0" xfId="0" applyFont="1" applyFill="1" applyAlignment="1" applyProtection="1">
      <alignment horizontal="center" vertical="center" wrapText="1"/>
      <protection locked="0" hidden="1"/>
    </xf>
    <xf numFmtId="0" fontId="15" fillId="5" borderId="4" xfId="0" applyFont="1" applyFill="1" applyBorder="1" applyAlignment="1">
      <alignment vertical="center" wrapText="1"/>
    </xf>
    <xf numFmtId="0" fontId="14" fillId="5" borderId="32" xfId="0" applyFont="1" applyFill="1" applyBorder="1" applyAlignment="1">
      <alignment wrapText="1"/>
    </xf>
    <xf numFmtId="0" fontId="42" fillId="5" borderId="0" xfId="1" applyFont="1" applyFill="1" applyBorder="1" applyAlignment="1" applyProtection="1">
      <alignment vertical="center" wrapText="1"/>
    </xf>
    <xf numFmtId="0" fontId="0" fillId="5" borderId="49" xfId="0" applyFill="1" applyBorder="1" applyAlignment="1" applyProtection="1">
      <alignment vertical="center" wrapText="1"/>
      <protection locked="0" hidden="1"/>
    </xf>
    <xf numFmtId="0" fontId="0" fillId="0" borderId="0" xfId="0" applyAlignment="1" applyProtection="1">
      <alignment vertical="center" wrapText="1"/>
      <protection locked="0" hidden="1"/>
    </xf>
    <xf numFmtId="0" fontId="11" fillId="5" borderId="21" xfId="0" applyFont="1" applyFill="1" applyBorder="1" applyAlignment="1" applyProtection="1">
      <alignment vertical="center" wrapText="1"/>
      <protection locked="0" hidden="1"/>
    </xf>
    <xf numFmtId="0" fontId="0" fillId="6" borderId="0" xfId="0" applyFill="1" applyAlignment="1" applyProtection="1">
      <alignment vertical="center" wrapText="1"/>
      <protection locked="0" hidden="1"/>
    </xf>
    <xf numFmtId="0" fontId="0" fillId="0" borderId="13" xfId="0" applyBorder="1" applyAlignment="1" applyProtection="1">
      <alignment vertical="center" wrapText="1"/>
      <protection locked="0"/>
    </xf>
    <xf numFmtId="0" fontId="0" fillId="0" borderId="50" xfId="0" applyBorder="1" applyAlignment="1" applyProtection="1">
      <alignment vertical="center" wrapText="1"/>
      <protection locked="0"/>
    </xf>
    <xf numFmtId="0" fontId="0" fillId="6" borderId="0" xfId="0" applyFill="1" applyAlignment="1" applyProtection="1">
      <alignment vertical="center" wrapText="1"/>
      <protection locked="0"/>
    </xf>
    <xf numFmtId="0" fontId="0" fillId="0" borderId="0" xfId="0" applyAlignment="1" applyProtection="1">
      <alignment vertical="center" wrapText="1"/>
      <protection locked="0"/>
    </xf>
    <xf numFmtId="0" fontId="66" fillId="0" borderId="0" xfId="0" applyFont="1" applyAlignment="1" applyProtection="1">
      <alignment vertical="center" wrapText="1"/>
      <protection locked="0"/>
    </xf>
    <xf numFmtId="0" fontId="0" fillId="0" borderId="0" xfId="0" applyAlignment="1">
      <alignment vertical="center" wrapText="1"/>
    </xf>
    <xf numFmtId="0" fontId="0" fillId="0" borderId="42" xfId="0" applyBorder="1" applyAlignment="1" applyProtection="1">
      <alignment horizontal="left" vertical="center" wrapText="1"/>
      <protection locked="0"/>
    </xf>
    <xf numFmtId="49" fontId="0" fillId="0" borderId="0" xfId="0" applyNumberFormat="1" applyAlignment="1">
      <alignment vertical="center"/>
    </xf>
    <xf numFmtId="0" fontId="71" fillId="0" borderId="0" xfId="0" applyFont="1" applyAlignment="1">
      <alignment vertical="top" wrapText="1"/>
    </xf>
    <xf numFmtId="0" fontId="0" fillId="8" borderId="13" xfId="0" applyFill="1" applyBorder="1" applyAlignment="1">
      <alignment vertical="center" wrapText="1"/>
    </xf>
    <xf numFmtId="0" fontId="49" fillId="0" borderId="0" xfId="6" applyFont="1" applyAlignment="1">
      <alignment horizontal="left" vertical="top" wrapText="1"/>
    </xf>
    <xf numFmtId="0" fontId="26" fillId="8" borderId="13" xfId="0" applyFont="1" applyFill="1" applyBorder="1" applyAlignment="1">
      <alignment vertical="center" wrapText="1"/>
    </xf>
    <xf numFmtId="0" fontId="15" fillId="5" borderId="16" xfId="0" applyFont="1" applyFill="1" applyBorder="1" applyAlignment="1" applyProtection="1">
      <alignment horizontal="left" vertical="center" wrapText="1"/>
      <protection locked="0" hidden="1"/>
    </xf>
    <xf numFmtId="0" fontId="73" fillId="0" borderId="29" xfId="0" applyFont="1" applyBorder="1" applyAlignment="1" applyProtection="1">
      <alignment vertical="center" wrapText="1"/>
      <protection locked="0" hidden="1"/>
    </xf>
    <xf numFmtId="176" fontId="53" fillId="0" borderId="0" xfId="0" applyNumberFormat="1" applyFont="1" applyFill="1" applyBorder="1" applyAlignment="1" applyProtection="1">
      <alignment horizontal="left" vertical="top" wrapText="1"/>
    </xf>
    <xf numFmtId="176" fontId="49" fillId="0" borderId="0" xfId="0" applyNumberFormat="1" applyFont="1" applyFill="1" applyBorder="1" applyAlignment="1" applyProtection="1">
      <alignment vertical="top" wrapText="1"/>
    </xf>
    <xf numFmtId="0" fontId="65" fillId="0" borderId="0" xfId="6" applyFont="1" applyAlignment="1">
      <alignment horizontal="left" vertical="top" wrapText="1"/>
    </xf>
    <xf numFmtId="0" fontId="49" fillId="0" borderId="0" xfId="0" applyFont="1" applyAlignment="1">
      <alignment horizontal="left" vertical="top" wrapText="1"/>
    </xf>
    <xf numFmtId="0" fontId="49" fillId="0" borderId="0" xfId="73" applyFont="1" applyAlignment="1">
      <alignment vertical="top" wrapText="1"/>
    </xf>
    <xf numFmtId="176" fontId="53" fillId="0" borderId="0" xfId="0" applyNumberFormat="1" applyFont="1" applyFill="1" applyBorder="1" applyAlignment="1" applyProtection="1">
      <alignment vertical="top" wrapText="1"/>
    </xf>
    <xf numFmtId="9" fontId="76" fillId="0" borderId="0" xfId="0" applyNumberFormat="1" applyFont="1" applyFill="1" applyBorder="1" applyAlignment="1" applyProtection="1">
      <alignment horizontal="left" vertical="top" wrapText="1"/>
    </xf>
    <xf numFmtId="0" fontId="65" fillId="0" borderId="0" xfId="6" applyFont="1" applyAlignment="1">
      <alignment horizontal="justify" vertical="top"/>
    </xf>
    <xf numFmtId="0" fontId="49" fillId="0" borderId="0" xfId="6" applyFont="1" applyAlignment="1">
      <alignment horizontal="justify" vertical="top"/>
    </xf>
    <xf numFmtId="0" fontId="49" fillId="0" borderId="0" xfId="0" applyFont="1" applyAlignment="1">
      <alignment horizontal="left" vertical="top"/>
    </xf>
    <xf numFmtId="0" fontId="76" fillId="0" borderId="0" xfId="6" applyFont="1" applyAlignment="1">
      <alignment horizontal="justify" vertical="top"/>
    </xf>
    <xf numFmtId="0" fontId="54" fillId="0" borderId="0" xfId="6" applyFont="1" applyAlignment="1">
      <alignment horizontal="left" vertical="top" wrapText="1"/>
    </xf>
    <xf numFmtId="0" fontId="76" fillId="0" borderId="0" xfId="6" applyFont="1" applyAlignment="1">
      <alignment horizontal="left" vertical="top" wrapText="1"/>
    </xf>
    <xf numFmtId="0" fontId="77" fillId="0" borderId="0" xfId="6" applyFont="1" applyAlignment="1">
      <alignment vertical="top" wrapText="1"/>
    </xf>
    <xf numFmtId="0" fontId="65" fillId="0" borderId="0" xfId="6" applyFont="1" applyAlignment="1">
      <alignment vertical="top" wrapText="1"/>
    </xf>
    <xf numFmtId="0" fontId="78" fillId="0" borderId="0" xfId="0" applyFont="1"/>
    <xf numFmtId="176" fontId="53" fillId="0" borderId="0" xfId="0" applyNumberFormat="1" applyFont="1" applyFill="1" applyBorder="1" applyAlignment="1" applyProtection="1">
      <alignment horizontal="left" vertical="top" wrapText="1"/>
      <protection locked="0" hidden="1"/>
    </xf>
    <xf numFmtId="0" fontId="79" fillId="0" borderId="0" xfId="31" applyFont="1" applyAlignment="1">
      <alignment horizontal="left" vertical="top" wrapText="1"/>
    </xf>
    <xf numFmtId="176" fontId="0" fillId="0" borderId="0" xfId="0" applyNumberFormat="1" applyFont="1" applyFill="1" applyBorder="1" applyProtection="1"/>
    <xf numFmtId="0" fontId="0" fillId="8" borderId="13" xfId="0" applyFill="1" applyBorder="1" applyAlignment="1">
      <alignment vertical="top" wrapText="1"/>
    </xf>
    <xf numFmtId="0" fontId="53" fillId="8" borderId="13" xfId="0" applyFont="1" applyFill="1" applyBorder="1" applyAlignment="1">
      <alignment vertical="top" wrapText="1"/>
    </xf>
    <xf numFmtId="0" fontId="53" fillId="8" borderId="13" xfId="6" applyFont="1" applyFill="1" applyBorder="1" applyAlignment="1">
      <alignment vertical="top" wrapText="1"/>
    </xf>
    <xf numFmtId="0" fontId="8" fillId="0" borderId="13" xfId="1" applyFill="1" applyBorder="1" applyAlignment="1">
      <alignment vertical="center"/>
      <protection locked="0"/>
    </xf>
    <xf numFmtId="0" fontId="8" fillId="0" borderId="13" xfId="1" applyBorder="1" applyAlignment="1">
      <alignment vertical="center"/>
      <protection locked="0"/>
    </xf>
    <xf numFmtId="0" fontId="1" fillId="0" borderId="0" xfId="96" applyAlignment="1">
      <alignment vertical="top" wrapText="1"/>
    </xf>
    <xf numFmtId="0" fontId="53" fillId="0" borderId="0" xfId="6" applyFont="1" applyAlignment="1">
      <alignment horizontal="left" vertical="top" wrapText="1"/>
    </xf>
    <xf numFmtId="0" fontId="53" fillId="0" borderId="0" xfId="6" applyFont="1" applyAlignment="1">
      <alignment horizontal="justify" vertical="top"/>
    </xf>
    <xf numFmtId="0" fontId="53" fillId="0" borderId="0" xfId="10" applyFont="1" applyAlignment="1">
      <alignment horizontal="left" vertical="top" wrapText="1"/>
    </xf>
    <xf numFmtId="0" fontId="14" fillId="5" borderId="21" xfId="0" applyFont="1" applyFill="1" applyBorder="1" applyAlignment="1" applyProtection="1">
      <alignment horizontal="left" wrapText="1"/>
      <protection locked="0" hidden="1"/>
    </xf>
    <xf numFmtId="9" fontId="0" fillId="0" borderId="13" xfId="0" applyNumberFormat="1" applyBorder="1" applyAlignment="1" applyProtection="1">
      <alignment horizontal="left" vertical="center" wrapText="1"/>
      <protection locked="0" hidden="1"/>
    </xf>
    <xf numFmtId="0" fontId="75" fillId="0" borderId="0" xfId="11" applyFont="1" applyAlignment="1">
      <alignment horizontal="left" vertical="top" wrapText="1"/>
    </xf>
    <xf numFmtId="0" fontId="49" fillId="0" borderId="0" xfId="11" applyFont="1" applyAlignment="1">
      <alignment horizontal="left" vertical="top" wrapText="1"/>
    </xf>
    <xf numFmtId="0" fontId="72" fillId="0" borderId="0" xfId="0" applyFont="1" applyAlignment="1">
      <alignment vertical="top" wrapText="1"/>
    </xf>
    <xf numFmtId="0" fontId="50" fillId="0" borderId="0" xfId="31" applyFont="1" applyAlignment="1">
      <alignment vertical="top" wrapText="1"/>
    </xf>
    <xf numFmtId="49" fontId="0" fillId="0" borderId="13" xfId="0" applyNumberFormat="1" applyBorder="1" applyAlignment="1" applyProtection="1">
      <alignment horizontal="left" vertical="center" wrapText="1"/>
      <protection locked="0" hidden="1"/>
    </xf>
    <xf numFmtId="49" fontId="15" fillId="5" borderId="31" xfId="0" applyNumberFormat="1" applyFont="1" applyFill="1" applyBorder="1" applyAlignment="1" applyProtection="1">
      <alignment horizontal="left" vertical="center" wrapText="1"/>
      <protection locked="0"/>
    </xf>
    <xf numFmtId="176" fontId="25" fillId="0" borderId="13" xfId="74" applyNumberFormat="1" applyFont="1" applyBorder="1" applyAlignment="1">
      <alignment horizontal="center" vertical="top" wrapText="1"/>
    </xf>
    <xf numFmtId="0" fontId="11" fillId="5" borderId="10" xfId="0" applyFont="1" applyFill="1" applyBorder="1" applyAlignment="1" applyProtection="1">
      <alignment vertical="center" wrapText="1"/>
      <protection locked="0"/>
    </xf>
    <xf numFmtId="0" fontId="0" fillId="0" borderId="0" xfId="0" applyProtection="1">
      <protection locked="0"/>
    </xf>
    <xf numFmtId="0" fontId="0" fillId="5" borderId="0" xfId="0" applyFill="1" applyProtection="1">
      <protection locked="0"/>
    </xf>
    <xf numFmtId="0" fontId="11" fillId="5" borderId="11"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3" xfId="0" applyBorder="1"/>
    <xf numFmtId="0" fontId="0" fillId="0" borderId="0" xfId="0" applyAlignment="1">
      <alignment horizontal="left" vertical="center"/>
    </xf>
    <xf numFmtId="0" fontId="0" fillId="5" borderId="14" xfId="0" applyFill="1" applyBorder="1" applyAlignment="1" applyProtection="1">
      <alignment horizontal="left" vertical="center" wrapText="1"/>
      <protection locked="0"/>
    </xf>
    <xf numFmtId="0" fontId="0" fillId="0" borderId="56" xfId="0" applyBorder="1" applyAlignment="1" applyProtection="1">
      <alignment vertical="center" wrapText="1"/>
      <protection locked="0"/>
    </xf>
    <xf numFmtId="0" fontId="0" fillId="0" borderId="13" xfId="0" applyBorder="1" applyAlignment="1" applyProtection="1">
      <alignment horizontal="left" vertical="center" wrapText="1"/>
      <protection locked="0" hidden="1"/>
    </xf>
    <xf numFmtId="0" fontId="0" fillId="0" borderId="57" xfId="0" applyBorder="1" applyAlignment="1" applyProtection="1">
      <alignment horizontal="left" vertical="center" wrapText="1"/>
      <protection locked="0" hidden="1"/>
    </xf>
    <xf numFmtId="0" fontId="0" fillId="5" borderId="58" xfId="0"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hidden="1"/>
    </xf>
    <xf numFmtId="0" fontId="0" fillId="5" borderId="60" xfId="0" applyFill="1" applyBorder="1" applyAlignment="1" applyProtection="1">
      <alignment horizontal="left" vertical="center" wrapText="1"/>
      <protection locked="0" hidden="1"/>
    </xf>
    <xf numFmtId="0" fontId="0" fillId="5" borderId="61" xfId="0" applyFill="1" applyBorder="1" applyAlignment="1" applyProtection="1">
      <alignment horizontal="left" vertical="center" wrapText="1"/>
      <protection locked="0" hidden="1"/>
    </xf>
    <xf numFmtId="49" fontId="0" fillId="0" borderId="13" xfId="0" applyNumberFormat="1" applyBorder="1" applyProtection="1">
      <protection locked="0"/>
    </xf>
    <xf numFmtId="0" fontId="0" fillId="0" borderId="42" xfId="0" applyBorder="1" applyAlignment="1" applyProtection="1">
      <alignment horizontal="left" vertical="center" wrapText="1"/>
      <protection locked="0" hidden="1"/>
    </xf>
    <xf numFmtId="0" fontId="0" fillId="0" borderId="13" xfId="0" applyBorder="1" applyAlignment="1" applyProtection="1">
      <alignment vertical="center" wrapText="1"/>
      <protection locked="0" hidden="1"/>
    </xf>
    <xf numFmtId="0" fontId="0" fillId="0" borderId="42" xfId="0" applyBorder="1" applyAlignment="1" applyProtection="1">
      <alignment horizontal="left" vertical="center" wrapText="1"/>
      <protection locked="0"/>
    </xf>
    <xf numFmtId="0" fontId="0" fillId="5" borderId="47" xfId="0" applyFill="1" applyBorder="1" applyAlignment="1" applyProtection="1">
      <alignment horizontal="left" vertical="center" wrapText="1"/>
      <protection locked="0" hidden="1"/>
    </xf>
    <xf numFmtId="0" fontId="0" fillId="5" borderId="36" xfId="0" applyFill="1" applyBorder="1" applyAlignment="1" applyProtection="1">
      <alignment horizontal="left" vertical="center" wrapText="1"/>
      <protection locked="0" hidden="1"/>
    </xf>
    <xf numFmtId="0" fontId="0" fillId="0" borderId="13" xfId="0" applyBorder="1" applyAlignment="1" applyProtection="1">
      <alignment vertical="center" wrapText="1"/>
      <protection locked="0"/>
    </xf>
    <xf numFmtId="0" fontId="0" fillId="5" borderId="36" xfId="0" applyFill="1" applyBorder="1" applyAlignment="1" applyProtection="1">
      <alignment horizontal="left" vertical="center" wrapText="1"/>
      <protection locked="0"/>
    </xf>
    <xf numFmtId="0" fontId="0" fillId="0" borderId="50" xfId="0" applyBorder="1" applyAlignment="1" applyProtection="1">
      <alignment vertical="center" wrapText="1"/>
      <protection locked="0"/>
    </xf>
    <xf numFmtId="0" fontId="0" fillId="5" borderId="13" xfId="0" applyFill="1" applyBorder="1" applyAlignment="1" applyProtection="1">
      <alignment horizontal="left" vertical="center" wrapText="1"/>
      <protection locked="0"/>
    </xf>
    <xf numFmtId="1" fontId="0" fillId="5" borderId="47" xfId="0" applyNumberFormat="1" applyFill="1" applyBorder="1" applyAlignment="1" applyProtection="1">
      <alignment horizontal="left" vertical="center" wrapText="1"/>
      <protection locked="0" hidden="1"/>
    </xf>
    <xf numFmtId="0" fontId="25" fillId="0" borderId="42" xfId="74" applyFont="1" applyBorder="1" applyAlignment="1">
      <alignment horizontal="center" vertical="top" wrapText="1"/>
    </xf>
    <xf numFmtId="0" fontId="25" fillId="0" borderId="43" xfId="74" applyFont="1" applyBorder="1" applyAlignment="1">
      <alignment horizontal="center" vertical="top" wrapText="1"/>
    </xf>
    <xf numFmtId="0" fontId="25" fillId="0" borderId="5" xfId="74" applyFont="1" applyBorder="1" applyAlignment="1">
      <alignment horizontal="center" vertical="top" wrapText="1"/>
    </xf>
    <xf numFmtId="176" fontId="25" fillId="0" borderId="42" xfId="74" applyNumberFormat="1" applyFont="1" applyBorder="1" applyAlignment="1">
      <alignment horizontal="center" vertical="top" wrapText="1"/>
    </xf>
    <xf numFmtId="176" fontId="25" fillId="0" borderId="43" xfId="74" applyNumberFormat="1" applyFont="1" applyBorder="1" applyAlignment="1">
      <alignment horizontal="center" vertical="top" wrapText="1"/>
    </xf>
    <xf numFmtId="176" fontId="25" fillId="0" borderId="5" xfId="74" applyNumberFormat="1" applyFont="1" applyBorder="1" applyAlignment="1">
      <alignment horizontal="center" vertical="top" wrapText="1"/>
    </xf>
    <xf numFmtId="0" fontId="25" fillId="5" borderId="42" xfId="74" applyFont="1" applyFill="1" applyBorder="1" applyAlignment="1">
      <alignment horizontal="left" vertical="top" wrapText="1"/>
    </xf>
    <xf numFmtId="0" fontId="25" fillId="5" borderId="43" xfId="74" applyFont="1" applyFill="1" applyBorder="1" applyAlignment="1">
      <alignment horizontal="left" vertical="top" wrapText="1"/>
    </xf>
    <xf numFmtId="0" fontId="25" fillId="5" borderId="5" xfId="74" applyFont="1" applyFill="1" applyBorder="1" applyAlignment="1">
      <alignment horizontal="left" vertical="top" wrapText="1"/>
    </xf>
    <xf numFmtId="0" fontId="12" fillId="5" borderId="9"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6" fillId="5" borderId="39" xfId="0" applyFont="1" applyFill="1" applyBorder="1" applyAlignment="1">
      <alignment horizontal="center"/>
    </xf>
    <xf numFmtId="0" fontId="9" fillId="5" borderId="0" xfId="0" applyFont="1" applyFill="1" applyAlignment="1">
      <alignment horizontal="center"/>
    </xf>
    <xf numFmtId="0" fontId="26" fillId="5" borderId="0" xfId="0" applyFont="1" applyFill="1" applyAlignment="1">
      <alignment horizontal="center" vertical="center" wrapText="1"/>
    </xf>
    <xf numFmtId="0" fontId="26" fillId="5" borderId="51" xfId="0" applyFont="1" applyFill="1" applyBorder="1" applyAlignment="1">
      <alignment horizontal="center" vertical="center" wrapText="1"/>
    </xf>
    <xf numFmtId="0" fontId="25" fillId="5" borderId="42" xfId="74" applyFont="1" applyFill="1" applyBorder="1" applyAlignment="1">
      <alignment horizontal="center" vertical="top" wrapText="1"/>
    </xf>
    <xf numFmtId="0" fontId="25" fillId="5" borderId="43" xfId="74" applyFont="1" applyFill="1" applyBorder="1" applyAlignment="1">
      <alignment horizontal="center" vertical="top" wrapText="1"/>
    </xf>
    <xf numFmtId="0" fontId="25" fillId="5" borderId="5" xfId="74" applyFont="1" applyFill="1" applyBorder="1" applyAlignment="1">
      <alignment horizontal="center" vertical="top" wrapText="1"/>
    </xf>
    <xf numFmtId="176" fontId="25" fillId="5" borderId="42" xfId="74" applyNumberFormat="1" applyFont="1" applyFill="1" applyBorder="1" applyAlignment="1">
      <alignment horizontal="center" vertical="top" wrapText="1"/>
    </xf>
    <xf numFmtId="176" fontId="25" fillId="5" borderId="43" xfId="74" applyNumberFormat="1" applyFont="1" applyFill="1" applyBorder="1" applyAlignment="1">
      <alignment horizontal="center" vertical="top" wrapText="1"/>
    </xf>
    <xf numFmtId="176" fontId="25" fillId="5" borderId="5" xfId="74" applyNumberFormat="1" applyFont="1" applyFill="1" applyBorder="1" applyAlignment="1">
      <alignment horizontal="center" vertical="top" wrapText="1"/>
    </xf>
    <xf numFmtId="2" fontId="25" fillId="5" borderId="42" xfId="74" applyNumberFormat="1" applyFont="1" applyFill="1" applyBorder="1" applyAlignment="1">
      <alignment horizontal="center" vertical="top" wrapText="1"/>
    </xf>
    <xf numFmtId="2" fontId="25" fillId="5" borderId="43" xfId="74" applyNumberFormat="1" applyFont="1" applyFill="1" applyBorder="1" applyAlignment="1">
      <alignment horizontal="center" vertical="top" wrapText="1"/>
    </xf>
    <xf numFmtId="2" fontId="25" fillId="5" borderId="5" xfId="74" applyNumberFormat="1" applyFont="1" applyFill="1" applyBorder="1" applyAlignment="1">
      <alignment horizontal="center" vertical="top" wrapText="1"/>
    </xf>
    <xf numFmtId="0" fontId="0" fillId="5" borderId="6" xfId="0" applyFill="1" applyBorder="1" applyAlignment="1">
      <alignment horizontal="center"/>
    </xf>
    <xf numFmtId="0" fontId="0" fillId="5" borderId="7" xfId="0" applyFill="1" applyBorder="1" applyAlignment="1">
      <alignment horizontal="center"/>
    </xf>
    <xf numFmtId="0" fontId="0" fillId="5" borderId="8" xfId="0" applyFill="1" applyBorder="1" applyAlignment="1">
      <alignment horizontal="center"/>
    </xf>
    <xf numFmtId="0" fontId="0" fillId="5" borderId="22" xfId="0" applyFill="1" applyBorder="1" applyAlignment="1" applyProtection="1">
      <alignment horizontal="center"/>
      <protection locked="0" hidden="1"/>
    </xf>
    <xf numFmtId="0" fontId="0" fillId="5" borderId="10" xfId="0" applyFill="1" applyBorder="1" applyAlignment="1">
      <alignment horizontal="center"/>
    </xf>
    <xf numFmtId="0" fontId="0" fillId="5" borderId="11" xfId="0" applyFill="1" applyBorder="1" applyAlignment="1">
      <alignment horizontal="center"/>
    </xf>
    <xf numFmtId="0" fontId="15" fillId="0" borderId="52" xfId="0" applyFont="1" applyBorder="1" applyAlignment="1" applyProtection="1">
      <alignment horizontal="left" wrapText="1"/>
      <protection locked="0"/>
    </xf>
    <xf numFmtId="0" fontId="15" fillId="0" borderId="4" xfId="0" applyFont="1" applyBorder="1" applyAlignment="1" applyProtection="1">
      <alignment horizontal="left" wrapText="1"/>
      <protection locked="0"/>
    </xf>
    <xf numFmtId="0" fontId="15" fillId="0" borderId="31" xfId="0" applyFont="1" applyBorder="1" applyAlignment="1" applyProtection="1">
      <alignment horizontal="left" wrapText="1"/>
      <protection locked="0"/>
    </xf>
    <xf numFmtId="0" fontId="15" fillId="5" borderId="52" xfId="0" applyFont="1" applyFill="1" applyBorder="1" applyAlignment="1" applyProtection="1">
      <alignment horizontal="left" vertical="center"/>
      <protection locked="0"/>
    </xf>
    <xf numFmtId="0" fontId="15" fillId="5" borderId="31" xfId="0" applyFont="1" applyFill="1" applyBorder="1" applyAlignment="1" applyProtection="1">
      <alignment horizontal="left" vertical="center"/>
      <protection locked="0"/>
    </xf>
    <xf numFmtId="0" fontId="11" fillId="5" borderId="52" xfId="0" applyFont="1" applyFill="1" applyBorder="1" applyAlignment="1" applyProtection="1">
      <alignment horizontal="left" vertical="center" wrapText="1"/>
      <protection locked="0"/>
    </xf>
    <xf numFmtId="0" fontId="11" fillId="5" borderId="4" xfId="0" applyFont="1" applyFill="1" applyBorder="1" applyAlignment="1" applyProtection="1">
      <alignment horizontal="left" vertical="center" wrapText="1"/>
      <protection locked="0"/>
    </xf>
    <xf numFmtId="0" fontId="11" fillId="5" borderId="31" xfId="0" applyFont="1" applyFill="1" applyBorder="1" applyAlignment="1" applyProtection="1">
      <alignment horizontal="left" vertical="center" wrapText="1"/>
      <protection locked="0"/>
    </xf>
    <xf numFmtId="0" fontId="9" fillId="5" borderId="21" xfId="0" applyFont="1" applyFill="1" applyBorder="1" applyAlignment="1" applyProtection="1">
      <alignment horizontal="center" wrapText="1"/>
      <protection locked="0" hidden="1"/>
    </xf>
    <xf numFmtId="0" fontId="23" fillId="0" borderId="21" xfId="1" applyFont="1" applyFill="1" applyBorder="1" applyAlignment="1" applyProtection="1">
      <alignment horizontal="center"/>
      <protection locked="0" hidden="1"/>
    </xf>
    <xf numFmtId="0" fontId="14" fillId="5" borderId="4" xfId="0" applyFont="1" applyFill="1" applyBorder="1" applyAlignment="1" applyProtection="1">
      <alignment horizontal="left" wrapText="1"/>
      <protection locked="0" hidden="1"/>
    </xf>
    <xf numFmtId="0" fontId="15" fillId="5" borderId="4" xfId="0" applyFont="1" applyFill="1" applyBorder="1" applyAlignment="1">
      <alignment horizontal="center" vertical="center"/>
    </xf>
    <xf numFmtId="0" fontId="14" fillId="5" borderId="21" xfId="0" applyFont="1" applyFill="1" applyBorder="1" applyAlignment="1" applyProtection="1">
      <alignment horizontal="left" wrapText="1"/>
      <protection locked="0" hidden="1"/>
    </xf>
    <xf numFmtId="0" fontId="17" fillId="5" borderId="26" xfId="0" applyFont="1" applyFill="1" applyBorder="1" applyAlignment="1" applyProtection="1">
      <alignment horizontal="center" vertical="center"/>
      <protection locked="0" hidden="1"/>
    </xf>
    <xf numFmtId="0" fontId="17" fillId="5" borderId="39" xfId="0" applyFont="1" applyFill="1" applyBorder="1" applyAlignment="1" applyProtection="1">
      <alignment horizontal="center" vertical="center"/>
      <protection locked="0" hidden="1"/>
    </xf>
    <xf numFmtId="0" fontId="24" fillId="0" borderId="0" xfId="1" applyFont="1" applyFill="1" applyBorder="1" applyAlignment="1" applyProtection="1">
      <alignment horizontal="center" vertical="center" wrapText="1"/>
      <protection locked="0" hidden="1"/>
    </xf>
    <xf numFmtId="0" fontId="15" fillId="5" borderId="52" xfId="0" applyFont="1" applyFill="1" applyBorder="1" applyAlignment="1" applyProtection="1">
      <alignment horizontal="left" vertical="center" wrapText="1"/>
      <protection locked="0"/>
    </xf>
    <xf numFmtId="0" fontId="15" fillId="5" borderId="31" xfId="0" applyFont="1" applyFill="1" applyBorder="1" applyAlignment="1" applyProtection="1">
      <alignment horizontal="left" vertical="center" wrapText="1"/>
      <protection locked="0"/>
    </xf>
    <xf numFmtId="0" fontId="11" fillId="5" borderId="4" xfId="0" applyFont="1" applyFill="1" applyBorder="1" applyAlignment="1">
      <alignment horizontal="left" vertical="center" wrapText="1"/>
    </xf>
    <xf numFmtId="0" fontId="69" fillId="0" borderId="28" xfId="1" applyFont="1" applyFill="1" applyBorder="1" applyAlignment="1" applyProtection="1">
      <alignment horizontal="left" vertical="center" wrapText="1"/>
    </xf>
    <xf numFmtId="0" fontId="69" fillId="0" borderId="21" xfId="1" applyFont="1" applyFill="1" applyBorder="1" applyAlignment="1" applyProtection="1">
      <alignment horizontal="left" vertical="center" wrapText="1"/>
    </xf>
    <xf numFmtId="0" fontId="69" fillId="0" borderId="53" xfId="1" applyFont="1" applyFill="1" applyBorder="1" applyAlignment="1" applyProtection="1">
      <alignment horizontal="left" vertical="center" wrapText="1"/>
    </xf>
    <xf numFmtId="0" fontId="15" fillId="0" borderId="52"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9" fontId="15" fillId="5" borderId="52" xfId="0" applyNumberFormat="1" applyFont="1" applyFill="1" applyBorder="1" applyAlignment="1" applyProtection="1">
      <alignment horizontal="left" vertical="center"/>
      <protection locked="0"/>
    </xf>
    <xf numFmtId="9" fontId="15" fillId="5" borderId="31" xfId="0" applyNumberFormat="1" applyFont="1" applyFill="1" applyBorder="1" applyAlignment="1" applyProtection="1">
      <alignment horizontal="left" vertical="center"/>
      <protection locked="0"/>
    </xf>
    <xf numFmtId="0" fontId="21" fillId="0" borderId="21" xfId="1" applyFont="1" applyFill="1" applyBorder="1" applyAlignment="1" applyProtection="1">
      <alignment horizontal="center" wrapText="1"/>
      <protection locked="0" hidden="1"/>
    </xf>
    <xf numFmtId="49" fontId="15" fillId="5" borderId="52" xfId="0" applyNumberFormat="1" applyFont="1" applyFill="1" applyBorder="1" applyAlignment="1" applyProtection="1">
      <alignment horizontal="left" vertical="center" wrapText="1"/>
      <protection locked="0"/>
    </xf>
    <xf numFmtId="49" fontId="15" fillId="5" borderId="4" xfId="0" applyNumberFormat="1" applyFont="1" applyFill="1" applyBorder="1" applyAlignment="1" applyProtection="1">
      <alignment horizontal="left" vertical="center" wrapText="1"/>
      <protection locked="0"/>
    </xf>
    <xf numFmtId="49" fontId="15" fillId="5" borderId="31" xfId="0" applyNumberFormat="1" applyFont="1" applyFill="1" applyBorder="1" applyAlignment="1" applyProtection="1">
      <alignment horizontal="left" vertical="center" wrapText="1"/>
      <protection locked="0"/>
    </xf>
    <xf numFmtId="0" fontId="17" fillId="5" borderId="0" xfId="0" applyFont="1" applyFill="1" applyAlignment="1">
      <alignment horizontal="center" wrapText="1"/>
    </xf>
    <xf numFmtId="0" fontId="67" fillId="5" borderId="52" xfId="1" applyFont="1" applyFill="1" applyBorder="1" applyAlignment="1">
      <alignment horizontal="left" vertical="center" wrapText="1"/>
      <protection locked="0"/>
    </xf>
    <xf numFmtId="0" fontId="68" fillId="5" borderId="4" xfId="0" applyFont="1" applyFill="1" applyBorder="1" applyAlignment="1" applyProtection="1">
      <alignment horizontal="left" vertical="center" wrapText="1"/>
      <protection locked="0"/>
    </xf>
    <xf numFmtId="0" fontId="68" fillId="5" borderId="31" xfId="0" applyFont="1" applyFill="1" applyBorder="1" applyAlignment="1" applyProtection="1">
      <alignment horizontal="left" vertical="center" wrapText="1"/>
      <protection locked="0"/>
    </xf>
    <xf numFmtId="0" fontId="0" fillId="5" borderId="6" xfId="0" applyFill="1" applyBorder="1" applyAlignment="1">
      <alignment horizontal="center" vertical="top" wrapText="1"/>
    </xf>
    <xf numFmtId="0" fontId="0" fillId="5" borderId="7" xfId="0" applyFill="1" applyBorder="1" applyAlignment="1">
      <alignment horizontal="center" vertical="top" wrapText="1"/>
    </xf>
    <xf numFmtId="0" fontId="0" fillId="5" borderId="8" xfId="0" applyFill="1" applyBorder="1" applyAlignment="1">
      <alignment horizontal="center" vertical="top" wrapText="1"/>
    </xf>
    <xf numFmtId="0" fontId="13" fillId="5" borderId="52" xfId="0" applyFont="1" applyFill="1" applyBorder="1" applyAlignment="1" applyProtection="1">
      <alignment horizontal="center" vertical="center"/>
      <protection locked="0" hidden="1"/>
    </xf>
    <xf numFmtId="0" fontId="13" fillId="5" borderId="4" xfId="0" applyFont="1" applyFill="1" applyBorder="1" applyAlignment="1" applyProtection="1">
      <alignment horizontal="center" vertical="center"/>
      <protection locked="0" hidden="1"/>
    </xf>
    <xf numFmtId="0" fontId="13" fillId="5" borderId="31" xfId="0" applyFont="1" applyFill="1" applyBorder="1" applyAlignment="1" applyProtection="1">
      <alignment horizontal="center" vertical="center"/>
      <protection locked="0" hidden="1"/>
    </xf>
    <xf numFmtId="49" fontId="15" fillId="5" borderId="28" xfId="0" applyNumberFormat="1" applyFont="1" applyFill="1" applyBorder="1" applyAlignment="1" applyProtection="1">
      <alignment horizontal="left" vertical="center" wrapText="1"/>
      <protection locked="0"/>
    </xf>
    <xf numFmtId="49" fontId="15" fillId="5" borderId="21" xfId="0" applyNumberFormat="1" applyFont="1" applyFill="1" applyBorder="1" applyAlignment="1" applyProtection="1">
      <alignment horizontal="left" vertical="center" wrapText="1"/>
      <protection locked="0"/>
    </xf>
    <xf numFmtId="49" fontId="15" fillId="5" borderId="53" xfId="0" applyNumberFormat="1" applyFont="1" applyFill="1" applyBorder="1" applyAlignment="1" applyProtection="1">
      <alignment horizontal="left" vertical="center" wrapText="1"/>
      <protection locked="0"/>
    </xf>
    <xf numFmtId="0" fontId="14" fillId="5" borderId="0" xfId="0" applyFont="1" applyFill="1" applyAlignment="1" applyProtection="1">
      <alignment horizontal="center" vertical="center" wrapText="1"/>
      <protection locked="0" hidden="1"/>
    </xf>
    <xf numFmtId="0" fontId="15" fillId="5" borderId="54" xfId="0" applyFont="1" applyFill="1" applyBorder="1" applyAlignment="1" applyProtection="1">
      <alignment horizontal="left" vertical="center" wrapText="1"/>
      <protection locked="0"/>
    </xf>
    <xf numFmtId="0" fontId="15" fillId="5" borderId="22" xfId="0" applyFont="1" applyFill="1" applyBorder="1" applyAlignment="1" applyProtection="1">
      <alignment horizontal="left" vertical="center" wrapText="1"/>
      <protection locked="0"/>
    </xf>
    <xf numFmtId="0" fontId="15" fillId="5" borderId="47" xfId="0" applyFont="1" applyFill="1" applyBorder="1" applyAlignment="1" applyProtection="1">
      <alignment horizontal="left" vertical="center" wrapText="1"/>
      <protection locked="0"/>
    </xf>
    <xf numFmtId="0" fontId="24" fillId="0" borderId="22" xfId="1" applyFont="1" applyFill="1" applyBorder="1" applyAlignment="1" applyProtection="1">
      <alignment horizontal="center" vertical="center" wrapText="1"/>
      <protection locked="0" hidden="1"/>
    </xf>
    <xf numFmtId="0" fontId="24" fillId="5" borderId="0" xfId="1" applyFont="1" applyFill="1" applyBorder="1" applyAlignment="1">
      <alignment horizontal="center"/>
      <protection locked="0"/>
    </xf>
    <xf numFmtId="49" fontId="70" fillId="5" borderId="52" xfId="1" applyNumberFormat="1" applyFont="1" applyFill="1" applyBorder="1" applyAlignment="1">
      <alignment horizontal="left" vertical="center" wrapText="1"/>
      <protection locked="0"/>
    </xf>
    <xf numFmtId="49" fontId="70" fillId="5" borderId="4" xfId="1" applyNumberFormat="1" applyFont="1" applyFill="1" applyBorder="1" applyAlignment="1">
      <alignment horizontal="left" vertical="center" wrapText="1"/>
      <protection locked="0"/>
    </xf>
    <xf numFmtId="49" fontId="70" fillId="5" borderId="31" xfId="1" applyNumberFormat="1" applyFont="1" applyFill="1" applyBorder="1" applyAlignment="1">
      <alignment horizontal="left" vertical="center" wrapText="1"/>
      <protection locked="0"/>
    </xf>
    <xf numFmtId="0" fontId="14" fillId="5" borderId="21" xfId="0" applyFont="1" applyFill="1" applyBorder="1" applyAlignment="1" applyProtection="1">
      <alignment horizontal="center" vertical="top" wrapText="1"/>
      <protection locked="0" hidden="1"/>
    </xf>
    <xf numFmtId="0" fontId="14" fillId="5" borderId="36" xfId="0" applyFont="1" applyFill="1" applyBorder="1" applyAlignment="1" applyProtection="1">
      <alignment horizontal="right" vertical="center"/>
      <protection locked="0" hidden="1"/>
    </xf>
    <xf numFmtId="0" fontId="14" fillId="5" borderId="23" xfId="0" applyFont="1" applyFill="1" applyBorder="1" applyAlignment="1" applyProtection="1">
      <alignment horizontal="right" vertical="center"/>
      <protection locked="0" hidden="1"/>
    </xf>
    <xf numFmtId="49" fontId="69" fillId="5" borderId="52" xfId="1" applyNumberFormat="1" applyFont="1" applyFill="1" applyBorder="1" applyAlignment="1">
      <alignment horizontal="left" vertical="center" wrapText="1"/>
      <protection locked="0"/>
    </xf>
    <xf numFmtId="49" fontId="70" fillId="5" borderId="4" xfId="0" applyNumberFormat="1" applyFont="1" applyFill="1" applyBorder="1" applyAlignment="1" applyProtection="1">
      <alignment horizontal="left" vertical="center" wrapText="1"/>
      <protection locked="0"/>
    </xf>
    <xf numFmtId="49" fontId="70" fillId="5" borderId="31" xfId="0" applyNumberFormat="1" applyFont="1" applyFill="1" applyBorder="1" applyAlignment="1" applyProtection="1">
      <alignment horizontal="left" vertical="center" wrapText="1"/>
      <protection locked="0"/>
    </xf>
    <xf numFmtId="49" fontId="15" fillId="0" borderId="52" xfId="0" applyNumberFormat="1" applyFont="1" applyBorder="1" applyAlignment="1" applyProtection="1">
      <alignment horizontal="left" vertical="center" wrapText="1"/>
      <protection locked="0"/>
    </xf>
    <xf numFmtId="49" fontId="15" fillId="0" borderId="4" xfId="0" applyNumberFormat="1" applyFont="1" applyBorder="1" applyAlignment="1" applyProtection="1">
      <alignment horizontal="left" vertical="center" wrapText="1"/>
      <protection locked="0"/>
    </xf>
    <xf numFmtId="49" fontId="15" fillId="0" borderId="31" xfId="0" applyNumberFormat="1" applyFont="1" applyBorder="1" applyAlignment="1" applyProtection="1">
      <alignment horizontal="left" vertical="center" wrapText="1"/>
      <protection locked="0"/>
    </xf>
    <xf numFmtId="177" fontId="14" fillId="5" borderId="28" xfId="0" applyNumberFormat="1" applyFont="1" applyFill="1" applyBorder="1" applyAlignment="1" applyProtection="1">
      <alignment horizontal="center" wrapText="1"/>
      <protection locked="0"/>
    </xf>
    <xf numFmtId="177" fontId="14" fillId="5" borderId="53" xfId="0" applyNumberFormat="1" applyFont="1" applyFill="1" applyBorder="1" applyAlignment="1" applyProtection="1">
      <alignment horizontal="center" wrapText="1"/>
      <protection locked="0"/>
    </xf>
    <xf numFmtId="0" fontId="14" fillId="5" borderId="21" xfId="0" applyFont="1" applyFill="1" applyBorder="1" applyAlignment="1" applyProtection="1">
      <alignment horizontal="center" wrapText="1"/>
      <protection locked="0" hidden="1"/>
    </xf>
    <xf numFmtId="0" fontId="48" fillId="5" borderId="32" xfId="1" applyFont="1" applyFill="1" applyBorder="1" applyAlignment="1" applyProtection="1">
      <alignment horizontal="center" vertical="center" wrapText="1"/>
      <protection locked="0" hidden="1"/>
    </xf>
    <xf numFmtId="0" fontId="48" fillId="5" borderId="0" xfId="1" applyFont="1" applyFill="1" applyBorder="1" applyAlignment="1" applyProtection="1">
      <alignment horizontal="center" vertical="center" wrapText="1"/>
      <protection locked="0" hidden="1"/>
    </xf>
    <xf numFmtId="0" fontId="82" fillId="0" borderId="51" xfId="0" applyFont="1" applyBorder="1" applyAlignment="1" applyProtection="1">
      <alignment horizontal="left" vertical="center" wrapText="1"/>
      <protection locked="0" hidden="1"/>
    </xf>
    <xf numFmtId="0" fontId="11" fillId="5" borderId="21" xfId="0" applyFont="1" applyFill="1" applyBorder="1" applyAlignment="1" applyProtection="1">
      <alignment horizontal="center" vertical="center" wrapText="1"/>
      <protection locked="0" hidden="1"/>
    </xf>
    <xf numFmtId="0" fontId="11" fillId="5" borderId="53" xfId="0" applyFont="1" applyFill="1" applyBorder="1" applyAlignment="1" applyProtection="1">
      <alignment horizontal="center" vertical="center" wrapText="1"/>
      <protection locked="0" hidden="1"/>
    </xf>
    <xf numFmtId="0" fontId="0" fillId="0" borderId="0" xfId="0" applyAlignment="1" applyProtection="1">
      <alignment horizontal="center" wrapText="1"/>
      <protection locked="0" hidden="1"/>
    </xf>
    <xf numFmtId="0" fontId="21" fillId="5" borderId="0" xfId="1" applyFont="1" applyFill="1" applyBorder="1" applyAlignment="1">
      <alignment horizontal="center" vertical="center"/>
      <protection locked="0"/>
    </xf>
    <xf numFmtId="0" fontId="34" fillId="5" borderId="6" xfId="0" applyFont="1" applyFill="1" applyBorder="1" applyAlignment="1" applyProtection="1">
      <alignment horizontal="center" vertical="center" wrapText="1"/>
      <protection locked="0" hidden="1"/>
    </xf>
    <xf numFmtId="0" fontId="0" fillId="0" borderId="7" xfId="0" applyBorder="1" applyAlignment="1">
      <alignment horizontal="center" vertical="center" wrapText="1"/>
    </xf>
    <xf numFmtId="0" fontId="6" fillId="5" borderId="55" xfId="0" applyFont="1" applyFill="1" applyBorder="1" applyAlignment="1" applyProtection="1">
      <alignment horizontal="center" wrapText="1"/>
      <protection locked="0"/>
    </xf>
    <xf numFmtId="0" fontId="0" fillId="0" borderId="0" xfId="0" applyAlignment="1" applyProtection="1">
      <alignment horizontal="left" vertical="center" wrapText="1"/>
      <protection locked="0" hidden="1"/>
    </xf>
    <xf numFmtId="0" fontId="0" fillId="0" borderId="0" xfId="0" applyAlignment="1">
      <alignment horizontal="center" vertical="center"/>
    </xf>
  </cellXfs>
  <cellStyles count="97">
    <cellStyle name="一般" xfId="0" builtinId="0"/>
    <cellStyle name="一般 10" xfId="10" xr:uid="{00000000-0005-0000-0000-00000A000000}"/>
    <cellStyle name="一般 11" xfId="11" xr:uid="{00000000-0005-0000-0000-00000B000000}"/>
    <cellStyle name="一般 12" xfId="12" xr:uid="{00000000-0005-0000-0000-00000C000000}"/>
    <cellStyle name="一般 13" xfId="13" xr:uid="{00000000-0005-0000-0000-00000D000000}"/>
    <cellStyle name="一般 14" xfId="14" xr:uid="{00000000-0005-0000-0000-00000E000000}"/>
    <cellStyle name="一般 15" xfId="15" xr:uid="{00000000-0005-0000-0000-00000F000000}"/>
    <cellStyle name="一般 16" xfId="16" xr:uid="{00000000-0005-0000-0000-000010000000}"/>
    <cellStyle name="一般 17" xfId="17" xr:uid="{00000000-0005-0000-0000-000011000000}"/>
    <cellStyle name="一般 18" xfId="18" xr:uid="{00000000-0005-0000-0000-000012000000}"/>
    <cellStyle name="一般 19" xfId="19" xr:uid="{00000000-0005-0000-0000-000013000000}"/>
    <cellStyle name="一般 2" xfId="2" xr:uid="{00000000-0005-0000-0000-000002000000}"/>
    <cellStyle name="一般 20" xfId="20" xr:uid="{00000000-0005-0000-0000-000014000000}"/>
    <cellStyle name="一般 21" xfId="21" xr:uid="{00000000-0005-0000-0000-000015000000}"/>
    <cellStyle name="一般 22" xfId="22" xr:uid="{00000000-0005-0000-0000-000016000000}"/>
    <cellStyle name="一般 23" xfId="23" xr:uid="{00000000-0005-0000-0000-000017000000}"/>
    <cellStyle name="一般 24" xfId="24" xr:uid="{00000000-0005-0000-0000-000018000000}"/>
    <cellStyle name="一般 25" xfId="25" xr:uid="{00000000-0005-0000-0000-000019000000}"/>
    <cellStyle name="一般 26" xfId="26" xr:uid="{00000000-0005-0000-0000-00001A000000}"/>
    <cellStyle name="一般 27" xfId="27" xr:uid="{00000000-0005-0000-0000-00001B000000}"/>
    <cellStyle name="一般 28" xfId="28" xr:uid="{00000000-0005-0000-0000-00001C000000}"/>
    <cellStyle name="一般 29" xfId="29" xr:uid="{00000000-0005-0000-0000-00001D000000}"/>
    <cellStyle name="一般 3" xfId="3" xr:uid="{00000000-0005-0000-0000-000003000000}"/>
    <cellStyle name="一般 30" xfId="30" xr:uid="{00000000-0005-0000-0000-00001E000000}"/>
    <cellStyle name="一般 31" xfId="31" xr:uid="{00000000-0005-0000-0000-00001F000000}"/>
    <cellStyle name="一般 32" xfId="32" xr:uid="{00000000-0005-0000-0000-000020000000}"/>
    <cellStyle name="一般 33" xfId="33" xr:uid="{00000000-0005-0000-0000-000021000000}"/>
    <cellStyle name="一般 34" xfId="34" xr:uid="{00000000-0005-0000-0000-000022000000}"/>
    <cellStyle name="一般 35" xfId="35" xr:uid="{00000000-0005-0000-0000-000023000000}"/>
    <cellStyle name="一般 36" xfId="36" xr:uid="{00000000-0005-0000-0000-000024000000}"/>
    <cellStyle name="一般 37" xfId="37" xr:uid="{00000000-0005-0000-0000-000025000000}"/>
    <cellStyle name="一般 38" xfId="38" xr:uid="{00000000-0005-0000-0000-000026000000}"/>
    <cellStyle name="一般 39" xfId="39" xr:uid="{00000000-0005-0000-0000-000027000000}"/>
    <cellStyle name="一般 4" xfId="4" xr:uid="{00000000-0005-0000-0000-000004000000}"/>
    <cellStyle name="一般 40" xfId="40" xr:uid="{00000000-0005-0000-0000-000028000000}"/>
    <cellStyle name="一般 41" xfId="41" xr:uid="{00000000-0005-0000-0000-000029000000}"/>
    <cellStyle name="一般 42" xfId="42" xr:uid="{00000000-0005-0000-0000-00002A000000}"/>
    <cellStyle name="一般 43" xfId="43" xr:uid="{00000000-0005-0000-0000-00002B000000}"/>
    <cellStyle name="一般 44" xfId="44" xr:uid="{00000000-0005-0000-0000-00002C000000}"/>
    <cellStyle name="一般 45" xfId="45" xr:uid="{00000000-0005-0000-0000-00002D000000}"/>
    <cellStyle name="一般 46" xfId="46" xr:uid="{00000000-0005-0000-0000-00002E000000}"/>
    <cellStyle name="一般 47" xfId="47" xr:uid="{00000000-0005-0000-0000-00002F000000}"/>
    <cellStyle name="一般 48" xfId="48" xr:uid="{00000000-0005-0000-0000-000030000000}"/>
    <cellStyle name="一般 49" xfId="49" xr:uid="{00000000-0005-0000-0000-000031000000}"/>
    <cellStyle name="一般 5" xfId="5" xr:uid="{00000000-0005-0000-0000-000005000000}"/>
    <cellStyle name="一般 50" xfId="50" xr:uid="{00000000-0005-0000-0000-000032000000}"/>
    <cellStyle name="一般 51" xfId="51" xr:uid="{00000000-0005-0000-0000-000033000000}"/>
    <cellStyle name="一般 52" xfId="52" xr:uid="{00000000-0005-0000-0000-000034000000}"/>
    <cellStyle name="一般 53" xfId="53" xr:uid="{00000000-0005-0000-0000-000035000000}"/>
    <cellStyle name="一般 54" xfId="54" xr:uid="{00000000-0005-0000-0000-000036000000}"/>
    <cellStyle name="一般 55" xfId="55" xr:uid="{00000000-0005-0000-0000-000037000000}"/>
    <cellStyle name="一般 56" xfId="56" xr:uid="{00000000-0005-0000-0000-000038000000}"/>
    <cellStyle name="一般 57" xfId="57" xr:uid="{00000000-0005-0000-0000-000039000000}"/>
    <cellStyle name="一般 58" xfId="58" xr:uid="{00000000-0005-0000-0000-00003A000000}"/>
    <cellStyle name="一般 59" xfId="59" xr:uid="{00000000-0005-0000-0000-00003B000000}"/>
    <cellStyle name="一般 6" xfId="6" xr:uid="{00000000-0005-0000-0000-000006000000}"/>
    <cellStyle name="一般 60" xfId="60" xr:uid="{00000000-0005-0000-0000-00003C000000}"/>
    <cellStyle name="一般 61" xfId="61" xr:uid="{00000000-0005-0000-0000-00003D000000}"/>
    <cellStyle name="一般 62" xfId="62" xr:uid="{00000000-0005-0000-0000-00003E000000}"/>
    <cellStyle name="一般 63" xfId="63" xr:uid="{00000000-0005-0000-0000-00003F000000}"/>
    <cellStyle name="一般 64" xfId="64" xr:uid="{00000000-0005-0000-0000-000040000000}"/>
    <cellStyle name="一般 65" xfId="65" xr:uid="{00000000-0005-0000-0000-000041000000}"/>
    <cellStyle name="一般 66" xfId="66" xr:uid="{00000000-0005-0000-0000-000042000000}"/>
    <cellStyle name="一般 67" xfId="67" xr:uid="{00000000-0005-0000-0000-000043000000}"/>
    <cellStyle name="一般 68" xfId="68" xr:uid="{00000000-0005-0000-0000-000044000000}"/>
    <cellStyle name="一般 69" xfId="69" xr:uid="{00000000-0005-0000-0000-000045000000}"/>
    <cellStyle name="一般 7" xfId="7" xr:uid="{00000000-0005-0000-0000-000007000000}"/>
    <cellStyle name="一般 70" xfId="70" xr:uid="{00000000-0005-0000-0000-000046000000}"/>
    <cellStyle name="一般 71" xfId="71" xr:uid="{00000000-0005-0000-0000-000047000000}"/>
    <cellStyle name="一般 72" xfId="72" xr:uid="{00000000-0005-0000-0000-000048000000}"/>
    <cellStyle name="一般 73" xfId="73" xr:uid="{00000000-0005-0000-0000-000049000000}"/>
    <cellStyle name="一般 74" xfId="96" xr:uid="{00000000-0005-0000-0000-00004A000000}"/>
    <cellStyle name="一般 75" xfId="74" xr:uid="{00000000-0005-0000-0000-00004B000000}"/>
    <cellStyle name="一般 76" xfId="75" xr:uid="{00000000-0005-0000-0000-00004C000000}"/>
    <cellStyle name="一般 77" xfId="76" xr:uid="{00000000-0005-0000-0000-00004D000000}"/>
    <cellStyle name="一般 78" xfId="77" xr:uid="{00000000-0005-0000-0000-00004E000000}"/>
    <cellStyle name="一般 79" xfId="78" xr:uid="{00000000-0005-0000-0000-00004F000000}"/>
    <cellStyle name="一般 8" xfId="8" xr:uid="{00000000-0005-0000-0000-000008000000}"/>
    <cellStyle name="一般 80" xfId="79" xr:uid="{00000000-0005-0000-0000-000050000000}"/>
    <cellStyle name="一般 81" xfId="80" xr:uid="{00000000-0005-0000-0000-000051000000}"/>
    <cellStyle name="一般 82" xfId="81" xr:uid="{00000000-0005-0000-0000-000052000000}"/>
    <cellStyle name="一般 83" xfId="82" xr:uid="{00000000-0005-0000-0000-000053000000}"/>
    <cellStyle name="一般 84" xfId="83" xr:uid="{00000000-0005-0000-0000-000054000000}"/>
    <cellStyle name="一般 85" xfId="84" xr:uid="{00000000-0005-0000-0000-000055000000}"/>
    <cellStyle name="一般 86" xfId="85" xr:uid="{00000000-0005-0000-0000-000056000000}"/>
    <cellStyle name="一般 87" xfId="86" xr:uid="{00000000-0005-0000-0000-000057000000}"/>
    <cellStyle name="一般 88" xfId="87" xr:uid="{00000000-0005-0000-0000-000058000000}"/>
    <cellStyle name="一般 89" xfId="88" xr:uid="{00000000-0005-0000-0000-000059000000}"/>
    <cellStyle name="一般 9" xfId="9" xr:uid="{00000000-0005-0000-0000-000009000000}"/>
    <cellStyle name="一般 90" xfId="89" xr:uid="{00000000-0005-0000-0000-00005A000000}"/>
    <cellStyle name="一般 91" xfId="90" xr:uid="{00000000-0005-0000-0000-00005B000000}"/>
    <cellStyle name="一般 92" xfId="91" xr:uid="{00000000-0005-0000-0000-00005C000000}"/>
    <cellStyle name="一般 93" xfId="92" xr:uid="{00000000-0005-0000-0000-00005D000000}"/>
    <cellStyle name="一般 94" xfId="93" xr:uid="{00000000-0005-0000-0000-00005E000000}"/>
    <cellStyle name="一般 95" xfId="94" xr:uid="{00000000-0005-0000-0000-00005F000000}"/>
    <cellStyle name="一般 96" xfId="95" xr:uid="{00000000-0005-0000-0000-000060000000}"/>
    <cellStyle name="超連結" xfId="1" builtinId="8"/>
  </cellStyles>
  <dxfs count="82">
    <dxf>
      <fill>
        <patternFill patternType="none">
          <bgColor rgb="FFFF0000"/>
        </patternFill>
      </fill>
    </dxf>
    <dxf>
      <font>
        <color indexed="9"/>
      </font>
    </dxf>
    <dxf>
      <font>
        <strike val="0"/>
        <color theme="0" tint="-0.14990691854609822"/>
      </font>
      <fill>
        <patternFill patternType="none">
          <bgColor theme="0"/>
        </patternFill>
      </fill>
    </dxf>
    <dxf>
      <fill>
        <patternFill patternType="none">
          <bgColor rgb="FFFF0000"/>
        </patternFill>
      </fill>
    </dxf>
    <dxf>
      <font>
        <color auto="1"/>
      </font>
      <fill>
        <patternFill patternType="none">
          <bgColor indexed="50"/>
        </patternFill>
      </fill>
    </dxf>
    <dxf>
      <font>
        <strike val="0"/>
        <color indexed="22"/>
      </font>
      <fill>
        <patternFill patternType="none"/>
      </fill>
    </dxf>
    <dxf>
      <fill>
        <patternFill patternType="none">
          <bgColor rgb="FFFF0000"/>
        </patternFill>
      </fill>
    </dxf>
    <dxf>
      <font>
        <color auto="1"/>
      </font>
      <fill>
        <patternFill patternType="none">
          <bgColor indexed="50"/>
        </patternFill>
      </fill>
    </dxf>
    <dxf>
      <font>
        <strike val="0"/>
        <color theme="0"/>
      </font>
      <fill>
        <patternFill patternType="none"/>
      </fill>
    </dxf>
    <dxf>
      <font>
        <color auto="1"/>
      </font>
      <fill>
        <patternFill patternType="none">
          <bgColor rgb="FFFF0000"/>
        </patternFill>
      </fill>
    </dxf>
    <dxf>
      <font>
        <color auto="1"/>
      </font>
      <fill>
        <patternFill patternType="none">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patternType="none">
          <bgColor rgb="FFFF0000"/>
        </patternFill>
      </fill>
    </dxf>
    <dxf>
      <font>
        <color auto="1"/>
      </font>
      <fill>
        <patternFill patternType="none">
          <bgColor indexed="10"/>
        </patternFill>
      </fill>
    </dxf>
    <dxf>
      <fill>
        <patternFill patternType="none">
          <bgColor rgb="FFFFFF00"/>
        </patternFill>
      </fill>
    </dxf>
    <dxf>
      <font>
        <color auto="1"/>
      </font>
      <fill>
        <patternFill patternType="none">
          <bgColor indexed="10"/>
        </patternFill>
      </fill>
    </dxf>
    <dxf>
      <fill>
        <patternFill patternType="none">
          <bgColor rgb="FFFFFF00"/>
        </patternFill>
      </fill>
    </dxf>
    <dxf>
      <fill>
        <patternFill patternType="none">
          <bgColor theme="0" tint="-0.34995574816125979"/>
        </patternFill>
      </fill>
    </dxf>
    <dxf>
      <fill>
        <patternFill patternType="none">
          <bgColor rgb="FFFFFF00"/>
        </patternFill>
      </fill>
    </dxf>
    <dxf>
      <fill>
        <patternFill patternType="none">
          <bgColor rgb="FFFF00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5F5F5F"/>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theme="0" tint="-0.49995422223578601"/>
        </patternFill>
      </fill>
    </dxf>
    <dxf>
      <fill>
        <patternFill patternType="none">
          <bgColor indexed="23"/>
        </patternFill>
      </fill>
    </dxf>
    <dxf>
      <fill>
        <patternFill patternType="none">
          <bgColor rgb="FFFFFF00"/>
        </patternFill>
      </fill>
    </dxf>
    <dxf>
      <fill>
        <patternFill patternType="none">
          <bgColor theme="0" tint="-0.49995422223578601"/>
        </patternFill>
      </fill>
    </dxf>
    <dxf>
      <fill>
        <patternFill patternType="none">
          <bgColor indexed="23"/>
        </patternFill>
      </fill>
    </dxf>
    <dxf>
      <fill>
        <patternFill patternType="none">
          <bgColor rgb="FFFFFF00"/>
        </patternFill>
      </fill>
    </dxf>
    <dxf>
      <fill>
        <patternFill patternType="none">
          <bgColor indexed="23"/>
        </patternFill>
      </fill>
    </dxf>
    <dxf>
      <fill>
        <patternFill patternType="none">
          <bgColor theme="0" tint="-0.49995422223578601"/>
        </patternFill>
      </fill>
    </dxf>
    <dxf>
      <fill>
        <patternFill patternType="none">
          <bgColor rgb="FFFFFF00"/>
        </patternFill>
      </fill>
    </dxf>
    <dxf>
      <fill>
        <patternFill patternType="solid">
          <fgColor theme="1" tint="0.49995422223578601"/>
          <bgColor theme="0" tint="-0.49995422223578601"/>
        </patternFill>
      </fill>
    </dxf>
    <dxf>
      <fill>
        <patternFill patternType="none">
          <bgColor theme="0" tint="-0.49995422223578601"/>
        </patternFill>
      </fill>
    </dxf>
    <dxf>
      <fill>
        <patternFill patternType="none">
          <bgColor theme="0" tint="-0.49995422223578601"/>
        </patternFill>
      </fill>
    </dxf>
    <dxf>
      <fill>
        <patternFill patternType="none">
          <bgColor rgb="FFFFFF00"/>
        </patternFill>
      </fill>
    </dxf>
    <dxf>
      <fill>
        <patternFill patternType="none">
          <bgColor theme="0" tint="-0.49995422223578601"/>
        </patternFill>
      </fill>
    </dxf>
    <dxf>
      <fill>
        <patternFill patternType="none">
          <bgColor rgb="FFFFFF00"/>
        </patternFill>
      </fill>
    </dxf>
    <dxf>
      <fill>
        <patternFill patternType="none">
          <bgColor rgb="FFFFFF00"/>
        </patternFill>
      </fill>
    </dxf>
    <dxf>
      <fill>
        <patternFill patternType="none">
          <bgColor theme="0" tint="-0.49995422223578601"/>
        </patternFill>
      </fill>
    </dxf>
    <dxf>
      <fill>
        <patternFill patternType="none">
          <bgColor indexed="23"/>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2390866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twoCellAnchor>
    <xdr:from>
      <xdr:col>0</xdr:col>
      <xdr:colOff>0</xdr:colOff>
      <xdr:row>0</xdr:row>
      <xdr:rowOff>0</xdr:rowOff>
    </xdr:from>
    <xdr:to>
      <xdr:col>1</xdr:col>
      <xdr:colOff>6197600</xdr:colOff>
      <xdr:row>16</xdr:row>
      <xdr:rowOff>95250</xdr:rowOff>
    </xdr:to>
    <xdr:sp macro="" textlink="">
      <xdr:nvSpPr>
        <xdr:cNvPr id="84095" name="202" hidden="1">
          <a:extLst>
            <a:ext uri="{FF2B5EF4-FFF2-40B4-BE49-F238E27FC236}">
              <a16:creationId xmlns:a16="http://schemas.microsoft.com/office/drawing/2014/main" id="{8F94DD72-0DE3-47EE-93A3-A7FB2BF48CA8}"/>
            </a:ext>
          </a:extLst>
        </xdr:cNvPr>
        <xdr:cNvSpPr>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twoCellAnchor>
    <xdr:from>
      <xdr:col>0</xdr:col>
      <xdr:colOff>0</xdr:colOff>
      <xdr:row>0</xdr:row>
      <xdr:rowOff>0</xdr:rowOff>
    </xdr:from>
    <xdr:to>
      <xdr:col>3</xdr:col>
      <xdr:colOff>768350</xdr:colOff>
      <xdr:row>15</xdr:row>
      <xdr:rowOff>50800</xdr:rowOff>
    </xdr:to>
    <xdr:sp macro="" textlink="">
      <xdr:nvSpPr>
        <xdr:cNvPr id="3270" name="202" hidden="1">
          <a:extLst>
            <a:ext uri="{FF2B5EF4-FFF2-40B4-BE49-F238E27FC236}">
              <a16:creationId xmlns:a16="http://schemas.microsoft.com/office/drawing/2014/main" id="{904D0FBE-54EC-42C0-A223-749C150A8A90}"/>
            </a:ext>
          </a:extLst>
        </xdr:cNvPr>
        <xdr:cNvSpPr>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twoCellAnchor>
    <xdr:from>
      <xdr:col>0</xdr:col>
      <xdr:colOff>0</xdr:colOff>
      <xdr:row>0</xdr:row>
      <xdr:rowOff>0</xdr:rowOff>
    </xdr:from>
    <xdr:to>
      <xdr:col>1</xdr:col>
      <xdr:colOff>2622550</xdr:colOff>
      <xdr:row>13</xdr:row>
      <xdr:rowOff>44450</xdr:rowOff>
    </xdr:to>
    <xdr:sp macro="" textlink="">
      <xdr:nvSpPr>
        <xdr:cNvPr id="6674" name="202" hidden="1">
          <a:extLst>
            <a:ext uri="{FF2B5EF4-FFF2-40B4-BE49-F238E27FC236}">
              <a16:creationId xmlns:a16="http://schemas.microsoft.com/office/drawing/2014/main" id="{8611F418-C219-46CD-9533-365B96FABED8}"/>
            </a:ext>
          </a:extLst>
        </xdr:cNvPr>
        <xdr:cNvSpPr>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3479800</xdr:colOff>
      <xdr:row>4</xdr:row>
      <xdr:rowOff>692150</xdr:rowOff>
    </xdr:to>
    <xdr:sp macro="" textlink="">
      <xdr:nvSpPr>
        <xdr:cNvPr id="11049" name="202" hidden="1">
          <a:extLst>
            <a:ext uri="{FF2B5EF4-FFF2-40B4-BE49-F238E27FC236}">
              <a16:creationId xmlns:a16="http://schemas.microsoft.com/office/drawing/2014/main" id="{59066BBD-5845-48B7-919E-878FD328BC0D}"/>
            </a:ext>
          </a:extLst>
        </xdr:cNvPr>
        <xdr:cNvSpPr>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pac.tscprinters.com/en/responsible-mineral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12"/>
      <c r="B2" s="5" t="s">
        <v>837</v>
      </c>
      <c r="C2" s="3"/>
      <c r="D2" s="175"/>
      <c r="E2" s="3"/>
      <c r="F2" s="3"/>
      <c r="G2" s="25"/>
    </row>
    <row r="3" spans="1:7">
      <c r="A3" s="312"/>
      <c r="B3" s="3" t="s">
        <v>829</v>
      </c>
      <c r="C3" s="5"/>
      <c r="D3" s="176"/>
      <c r="E3" s="3"/>
      <c r="F3" s="5"/>
      <c r="G3" s="25"/>
    </row>
    <row r="4" spans="1:7" ht="15">
      <c r="A4" s="312"/>
      <c r="B4" s="30" t="s">
        <v>839</v>
      </c>
      <c r="C4" s="6"/>
      <c r="D4" s="177"/>
      <c r="E4" s="3"/>
      <c r="F4" s="6"/>
      <c r="G4" s="25"/>
    </row>
    <row r="5" spans="1:7">
      <c r="A5" s="312"/>
      <c r="B5" s="29" t="s">
        <v>1030</v>
      </c>
      <c r="C5" s="4"/>
      <c r="D5" s="178"/>
      <c r="E5" s="3"/>
      <c r="F5" s="4"/>
      <c r="G5" s="25"/>
    </row>
    <row r="6" spans="1:7">
      <c r="A6" s="312"/>
      <c r="B6" s="3"/>
      <c r="C6" s="3"/>
      <c r="D6" s="175"/>
      <c r="E6" s="3"/>
      <c r="F6" s="3"/>
      <c r="G6" s="25"/>
    </row>
    <row r="7" spans="1:7">
      <c r="A7" s="312"/>
      <c r="B7" s="3"/>
      <c r="C7" s="3"/>
      <c r="D7" s="175"/>
      <c r="E7" s="3"/>
      <c r="F7" s="3"/>
      <c r="G7" s="25"/>
    </row>
    <row r="8" spans="1:7">
      <c r="A8" s="312"/>
      <c r="B8" s="3"/>
      <c r="C8" s="3"/>
      <c r="D8" s="175"/>
      <c r="E8" s="3"/>
      <c r="F8" s="3"/>
      <c r="G8" s="25"/>
    </row>
    <row r="9" spans="1:7">
      <c r="A9" s="312"/>
      <c r="B9" s="315" t="s">
        <v>840</v>
      </c>
      <c r="C9" s="315"/>
      <c r="D9" s="315"/>
      <c r="E9" s="315"/>
      <c r="F9" s="315"/>
      <c r="G9" s="25"/>
    </row>
    <row r="10" spans="1:7" ht="27" customHeight="1">
      <c r="A10" s="312"/>
      <c r="B10" s="316" t="s">
        <v>434</v>
      </c>
      <c r="C10" s="316"/>
      <c r="D10" s="316"/>
      <c r="E10" s="316"/>
      <c r="F10" s="316"/>
      <c r="G10" s="25"/>
    </row>
    <row r="11" spans="1:7" ht="27" customHeight="1">
      <c r="A11" s="312"/>
      <c r="B11" s="317"/>
      <c r="C11" s="317"/>
      <c r="D11" s="317"/>
      <c r="E11" s="317"/>
      <c r="F11" s="317"/>
      <c r="G11" s="25"/>
    </row>
    <row r="12" spans="1:7">
      <c r="A12" s="312"/>
      <c r="B12" s="31" t="s">
        <v>838</v>
      </c>
      <c r="C12" s="32" t="s">
        <v>841</v>
      </c>
      <c r="D12" s="179" t="s">
        <v>842</v>
      </c>
      <c r="E12" s="32" t="s">
        <v>608</v>
      </c>
      <c r="F12" s="32" t="s">
        <v>609</v>
      </c>
      <c r="G12" s="25"/>
    </row>
    <row r="13" spans="1:7" ht="20">
      <c r="A13" s="312"/>
      <c r="B13" s="2">
        <v>1</v>
      </c>
      <c r="C13" s="27" t="s">
        <v>1078</v>
      </c>
      <c r="D13" s="28" t="s">
        <v>866</v>
      </c>
      <c r="E13" s="163" t="s">
        <v>843</v>
      </c>
      <c r="F13" s="163"/>
      <c r="G13" s="25"/>
    </row>
    <row r="14" spans="1:7" ht="30">
      <c r="A14" s="312"/>
      <c r="B14" s="2">
        <v>2</v>
      </c>
      <c r="C14" s="27" t="s">
        <v>1078</v>
      </c>
      <c r="D14" s="28" t="s">
        <v>1015</v>
      </c>
      <c r="E14" s="163" t="s">
        <v>526</v>
      </c>
      <c r="F14" s="163" t="s">
        <v>527</v>
      </c>
      <c r="G14" s="25"/>
    </row>
    <row r="15" spans="1:7" ht="89.15" customHeight="1">
      <c r="A15" s="312"/>
      <c r="B15" s="318">
        <v>2.0099999999999998</v>
      </c>
      <c r="C15" s="309" t="s">
        <v>1078</v>
      </c>
      <c r="D15" s="321" t="s">
        <v>2229</v>
      </c>
      <c r="E15" s="164" t="s">
        <v>610</v>
      </c>
      <c r="F15" s="164" t="s">
        <v>613</v>
      </c>
      <c r="G15" s="25"/>
    </row>
    <row r="16" spans="1:7" ht="99" customHeight="1">
      <c r="A16" s="312"/>
      <c r="B16" s="319"/>
      <c r="C16" s="310"/>
      <c r="D16" s="322"/>
      <c r="E16" s="165"/>
      <c r="F16" s="165" t="s">
        <v>611</v>
      </c>
      <c r="G16" s="25"/>
    </row>
    <row r="17" spans="1:7" ht="63" customHeight="1">
      <c r="A17" s="312"/>
      <c r="B17" s="320"/>
      <c r="C17" s="311"/>
      <c r="D17" s="323"/>
      <c r="E17" s="27"/>
      <c r="F17" s="27" t="s">
        <v>612</v>
      </c>
      <c r="G17" s="25"/>
    </row>
    <row r="18" spans="1:7" ht="117" customHeight="1">
      <c r="A18" s="312"/>
      <c r="B18" s="318">
        <v>2.02</v>
      </c>
      <c r="C18" s="309" t="s">
        <v>1078</v>
      </c>
      <c r="D18" s="321" t="s">
        <v>2230</v>
      </c>
      <c r="E18" s="164" t="s">
        <v>435</v>
      </c>
      <c r="F18" s="164" t="s">
        <v>521</v>
      </c>
      <c r="G18" s="25"/>
    </row>
    <row r="19" spans="1:7" ht="71.150000000000006" customHeight="1">
      <c r="A19" s="312"/>
      <c r="B19" s="319"/>
      <c r="C19" s="310"/>
      <c r="D19" s="322"/>
      <c r="E19" s="165" t="s">
        <v>525</v>
      </c>
      <c r="F19" s="165" t="s">
        <v>436</v>
      </c>
      <c r="G19" s="25"/>
    </row>
    <row r="20" spans="1:7" ht="90.75" customHeight="1">
      <c r="A20" s="312"/>
      <c r="B20" s="319"/>
      <c r="C20" s="310"/>
      <c r="D20" s="322"/>
      <c r="E20" s="165"/>
      <c r="F20" s="165" t="s">
        <v>615</v>
      </c>
      <c r="G20" s="25"/>
    </row>
    <row r="21" spans="1:7" ht="74.25" customHeight="1">
      <c r="A21" s="312"/>
      <c r="B21" s="320"/>
      <c r="C21" s="311"/>
      <c r="D21" s="323"/>
      <c r="E21" s="27"/>
      <c r="F21" s="27" t="s">
        <v>614</v>
      </c>
      <c r="G21" s="25"/>
    </row>
    <row r="22" spans="1:7" ht="90" customHeight="1">
      <c r="A22" s="312"/>
      <c r="B22" s="303">
        <v>2.0299999999999998</v>
      </c>
      <c r="C22" s="303" t="s">
        <v>812</v>
      </c>
      <c r="D22" s="306" t="s">
        <v>2231</v>
      </c>
      <c r="E22" s="309" t="s">
        <v>433</v>
      </c>
      <c r="F22" s="164" t="s">
        <v>456</v>
      </c>
      <c r="G22" s="25"/>
    </row>
    <row r="23" spans="1:7" ht="109.5" customHeight="1">
      <c r="A23" s="312"/>
      <c r="B23" s="304"/>
      <c r="C23" s="304"/>
      <c r="D23" s="307"/>
      <c r="E23" s="310"/>
      <c r="F23" s="165" t="s">
        <v>813</v>
      </c>
      <c r="G23" s="25"/>
    </row>
    <row r="24" spans="1:7" ht="74.25" customHeight="1">
      <c r="A24" s="312"/>
      <c r="B24" s="305"/>
      <c r="C24" s="305"/>
      <c r="D24" s="308"/>
      <c r="E24" s="311"/>
      <c r="F24" s="27" t="s">
        <v>432</v>
      </c>
      <c r="G24" s="25"/>
    </row>
    <row r="25" spans="1:7" ht="72" customHeight="1">
      <c r="A25" s="312"/>
      <c r="B25" s="2" t="s">
        <v>454</v>
      </c>
      <c r="C25" s="27" t="s">
        <v>455</v>
      </c>
      <c r="D25" s="28" t="s">
        <v>2232</v>
      </c>
      <c r="E25" s="27" t="s">
        <v>2227</v>
      </c>
      <c r="F25" s="27" t="s">
        <v>457</v>
      </c>
      <c r="G25" s="25"/>
    </row>
    <row r="26" spans="1:7" ht="98.15" customHeight="1">
      <c r="A26" s="312"/>
      <c r="B26" s="324">
        <v>3</v>
      </c>
      <c r="C26" s="318" t="s">
        <v>67</v>
      </c>
      <c r="D26" s="321" t="s">
        <v>2233</v>
      </c>
      <c r="E26" s="309" t="s">
        <v>0</v>
      </c>
      <c r="F26" s="164" t="s">
        <v>61</v>
      </c>
      <c r="G26" s="25"/>
    </row>
    <row r="27" spans="1:7" ht="90" customHeight="1">
      <c r="A27" s="312"/>
      <c r="B27" s="325"/>
      <c r="C27" s="319"/>
      <c r="D27" s="322"/>
      <c r="E27" s="310"/>
      <c r="F27" s="165" t="s">
        <v>56</v>
      </c>
      <c r="G27" s="25"/>
    </row>
    <row r="28" spans="1:7" ht="19.399999999999999" customHeight="1">
      <c r="A28" s="312"/>
      <c r="B28" s="325"/>
      <c r="C28" s="319"/>
      <c r="D28" s="322"/>
      <c r="E28" s="310"/>
      <c r="F28" s="165" t="s">
        <v>57</v>
      </c>
      <c r="G28" s="25"/>
    </row>
    <row r="29" spans="1:7" ht="74.5" customHeight="1">
      <c r="A29" s="312"/>
      <c r="B29" s="325"/>
      <c r="C29" s="319"/>
      <c r="D29" s="322"/>
      <c r="E29" s="310"/>
      <c r="F29" s="165" t="s">
        <v>58</v>
      </c>
      <c r="G29" s="25"/>
    </row>
    <row r="30" spans="1:7" ht="62.5" customHeight="1">
      <c r="A30" s="312"/>
      <c r="B30" s="325"/>
      <c r="C30" s="319"/>
      <c r="D30" s="322"/>
      <c r="E30" s="310"/>
      <c r="F30" s="165" t="s">
        <v>59</v>
      </c>
      <c r="G30" s="25"/>
    </row>
    <row r="31" spans="1:7" ht="81" customHeight="1">
      <c r="A31" s="312"/>
      <c r="B31" s="325"/>
      <c r="C31" s="319"/>
      <c r="D31" s="322"/>
      <c r="E31" s="310"/>
      <c r="F31" s="165" t="s">
        <v>60</v>
      </c>
      <c r="G31" s="25"/>
    </row>
    <row r="32" spans="1:7" ht="48.75" customHeight="1">
      <c r="A32" s="312"/>
      <c r="B32" s="325"/>
      <c r="C32" s="319"/>
      <c r="D32" s="322"/>
      <c r="E32" s="310"/>
      <c r="F32" s="165" t="s">
        <v>63</v>
      </c>
      <c r="G32" s="25"/>
    </row>
    <row r="33" spans="1:7" ht="98.5" customHeight="1">
      <c r="A33" s="312"/>
      <c r="B33" s="325"/>
      <c r="C33" s="319"/>
      <c r="D33" s="322"/>
      <c r="E33" s="310"/>
      <c r="F33" s="165" t="s">
        <v>62</v>
      </c>
      <c r="G33" s="25"/>
    </row>
    <row r="34" spans="1:7" ht="89.15" customHeight="1">
      <c r="A34" s="312"/>
      <c r="B34" s="325"/>
      <c r="C34" s="319"/>
      <c r="D34" s="322"/>
      <c r="E34" s="310"/>
      <c r="F34" s="165" t="s">
        <v>64</v>
      </c>
      <c r="G34" s="25"/>
    </row>
    <row r="35" spans="1:7" ht="29.15" customHeight="1">
      <c r="A35" s="312"/>
      <c r="B35" s="325"/>
      <c r="C35" s="319"/>
      <c r="D35" s="322"/>
      <c r="E35" s="310"/>
      <c r="F35" s="165" t="s">
        <v>65</v>
      </c>
      <c r="G35" s="25"/>
    </row>
    <row r="36" spans="1:7" ht="111">
      <c r="A36" s="312"/>
      <c r="B36" s="326"/>
      <c r="C36" s="320"/>
      <c r="D36" s="323"/>
      <c r="E36" s="311"/>
      <c r="F36" s="166" t="s">
        <v>66</v>
      </c>
      <c r="G36" s="25"/>
    </row>
    <row r="37" spans="1:7" ht="100">
      <c r="A37" s="312"/>
      <c r="B37" s="141">
        <v>3.01</v>
      </c>
      <c r="C37" s="142" t="s">
        <v>67</v>
      </c>
      <c r="D37" s="28" t="s">
        <v>2234</v>
      </c>
      <c r="E37" s="167" t="s">
        <v>1316</v>
      </c>
      <c r="F37" s="168" t="s">
        <v>1420</v>
      </c>
      <c r="G37" s="25"/>
    </row>
    <row r="38" spans="1:7" ht="80">
      <c r="A38" s="312"/>
      <c r="B38" s="141">
        <v>3.02</v>
      </c>
      <c r="C38" s="142" t="s">
        <v>1349</v>
      </c>
      <c r="D38" s="28" t="s">
        <v>2235</v>
      </c>
      <c r="E38" s="167" t="s">
        <v>1364</v>
      </c>
      <c r="F38" s="168" t="s">
        <v>1421</v>
      </c>
      <c r="G38" s="25"/>
    </row>
    <row r="39" spans="1:7" ht="80">
      <c r="A39" s="312"/>
      <c r="B39" s="150">
        <v>4</v>
      </c>
      <c r="C39" s="149" t="s">
        <v>1517</v>
      </c>
      <c r="D39" s="28" t="s">
        <v>2236</v>
      </c>
      <c r="E39" s="27" t="s">
        <v>2182</v>
      </c>
      <c r="F39" s="27" t="s">
        <v>1518</v>
      </c>
      <c r="G39" s="25"/>
    </row>
    <row r="40" spans="1:7" ht="40">
      <c r="A40" s="312"/>
      <c r="B40" s="141">
        <v>4.01</v>
      </c>
      <c r="C40" s="149" t="s">
        <v>1517</v>
      </c>
      <c r="D40" s="28" t="s">
        <v>2238</v>
      </c>
      <c r="E40" s="27" t="s">
        <v>2194</v>
      </c>
      <c r="F40" s="27" t="s">
        <v>2198</v>
      </c>
      <c r="G40" s="25"/>
    </row>
    <row r="41" spans="1:7" ht="40">
      <c r="A41" s="312"/>
      <c r="B41" s="141" t="s">
        <v>2225</v>
      </c>
      <c r="C41" s="149" t="s">
        <v>1517</v>
      </c>
      <c r="D41" s="28" t="s">
        <v>2237</v>
      </c>
      <c r="E41" s="27" t="s">
        <v>2228</v>
      </c>
      <c r="F41" s="27" t="s">
        <v>2226</v>
      </c>
      <c r="G41" s="25"/>
    </row>
    <row r="42" spans="1:7" ht="40">
      <c r="A42" s="312"/>
      <c r="B42" s="141" t="s">
        <v>2259</v>
      </c>
      <c r="C42" s="149" t="s">
        <v>1517</v>
      </c>
      <c r="D42" s="28" t="s">
        <v>2264</v>
      </c>
      <c r="E42" s="27" t="s">
        <v>2227</v>
      </c>
      <c r="F42" s="27" t="s">
        <v>2260</v>
      </c>
      <c r="G42" s="25"/>
    </row>
    <row r="43" spans="1:7" ht="110">
      <c r="A43" s="312"/>
      <c r="B43" s="160">
        <v>4.0999999999999996</v>
      </c>
      <c r="C43" s="149" t="s">
        <v>2263</v>
      </c>
      <c r="D43" s="161">
        <v>42867</v>
      </c>
      <c r="E43" s="169" t="s">
        <v>2266</v>
      </c>
      <c r="F43" s="27" t="s">
        <v>2265</v>
      </c>
      <c r="G43" s="25"/>
    </row>
    <row r="44" spans="1:7" ht="70">
      <c r="A44" s="312"/>
      <c r="B44" s="160">
        <v>4.2</v>
      </c>
      <c r="C44" s="149" t="s">
        <v>2263</v>
      </c>
      <c r="D44" s="161">
        <v>42704</v>
      </c>
      <c r="E44" s="169" t="s">
        <v>2462</v>
      </c>
      <c r="F44" s="27" t="s">
        <v>2437</v>
      </c>
      <c r="G44" s="25"/>
    </row>
    <row r="45" spans="1:7" ht="130">
      <c r="A45" s="312"/>
      <c r="B45" s="202">
        <v>5</v>
      </c>
      <c r="C45" s="149" t="s">
        <v>2263</v>
      </c>
      <c r="D45" s="161">
        <v>42867</v>
      </c>
      <c r="E45" s="169" t="s">
        <v>12683</v>
      </c>
      <c r="F45" s="27" t="s">
        <v>12405</v>
      </c>
      <c r="G45" s="25"/>
    </row>
    <row r="46" spans="1:7" ht="30">
      <c r="A46" s="312"/>
      <c r="B46" s="160">
        <v>5.01</v>
      </c>
      <c r="C46" s="149" t="s">
        <v>2263</v>
      </c>
      <c r="D46" s="161">
        <v>42907</v>
      </c>
      <c r="E46" s="169" t="s">
        <v>15484</v>
      </c>
      <c r="F46" s="27" t="s">
        <v>12405</v>
      </c>
      <c r="G46" s="25"/>
    </row>
    <row r="47" spans="1:7" ht="60">
      <c r="A47" s="312"/>
      <c r="B47" s="160">
        <v>5.0999999999999996</v>
      </c>
      <c r="C47" s="149" t="s">
        <v>2263</v>
      </c>
      <c r="D47" s="161">
        <v>43070</v>
      </c>
      <c r="E47" s="169" t="s">
        <v>12893</v>
      </c>
      <c r="F47" s="27" t="s">
        <v>12894</v>
      </c>
      <c r="G47" s="25"/>
    </row>
    <row r="48" spans="1:7" ht="50">
      <c r="A48" s="312"/>
      <c r="B48" s="160">
        <v>5.1100000000000003</v>
      </c>
      <c r="C48" s="149" t="s">
        <v>13129</v>
      </c>
      <c r="D48" s="161">
        <v>43217</v>
      </c>
      <c r="E48" s="169" t="s">
        <v>13255</v>
      </c>
      <c r="F48" s="27" t="s">
        <v>13163</v>
      </c>
      <c r="G48" s="25"/>
    </row>
    <row r="49" spans="1:7" ht="50">
      <c r="A49" s="312"/>
      <c r="B49" s="160">
        <v>5.12</v>
      </c>
      <c r="C49" s="149" t="s">
        <v>13129</v>
      </c>
      <c r="D49" s="161">
        <v>43581</v>
      </c>
      <c r="E49" s="169" t="s">
        <v>13255</v>
      </c>
      <c r="F49" s="27" t="s">
        <v>13807</v>
      </c>
      <c r="G49" s="25"/>
    </row>
    <row r="50" spans="1:7" ht="70">
      <c r="A50" s="312"/>
      <c r="B50" s="202">
        <v>6</v>
      </c>
      <c r="C50" s="149" t="s">
        <v>13129</v>
      </c>
      <c r="D50" s="161">
        <v>43964</v>
      </c>
      <c r="E50" s="169" t="s">
        <v>14020</v>
      </c>
      <c r="F50" s="27" t="s">
        <v>13810</v>
      </c>
      <c r="G50" s="25"/>
    </row>
    <row r="51" spans="1:7" ht="40">
      <c r="A51" s="312"/>
      <c r="B51" s="160">
        <v>6.01</v>
      </c>
      <c r="C51" s="149" t="s">
        <v>13129</v>
      </c>
      <c r="D51" s="161">
        <v>43970</v>
      </c>
      <c r="E51" s="169" t="s">
        <v>15485</v>
      </c>
      <c r="F51" s="169" t="s">
        <v>13810</v>
      </c>
      <c r="G51" s="25"/>
    </row>
    <row r="52" spans="1:7" ht="40">
      <c r="A52" s="312"/>
      <c r="B52" s="160">
        <v>6.1</v>
      </c>
      <c r="C52" s="149" t="s">
        <v>13129</v>
      </c>
      <c r="D52" s="161">
        <v>44314</v>
      </c>
      <c r="E52" s="169" t="s">
        <v>15477</v>
      </c>
      <c r="F52" s="169" t="s">
        <v>15015</v>
      </c>
      <c r="G52" s="25"/>
    </row>
    <row r="53" spans="1:7" ht="40">
      <c r="A53" s="312"/>
      <c r="B53" s="160">
        <v>6.2</v>
      </c>
      <c r="C53" s="149" t="s">
        <v>13129</v>
      </c>
      <c r="D53" s="161">
        <v>44678</v>
      </c>
      <c r="E53" s="169" t="s">
        <v>15477</v>
      </c>
      <c r="F53" s="169" t="s">
        <v>15476</v>
      </c>
      <c r="G53" s="25"/>
    </row>
    <row r="54" spans="1:7" ht="40">
      <c r="A54" s="312"/>
      <c r="B54" s="160">
        <v>6.21</v>
      </c>
      <c r="C54" s="149" t="s">
        <v>13129</v>
      </c>
      <c r="D54" s="161">
        <v>44687</v>
      </c>
      <c r="E54" s="169" t="s">
        <v>15486</v>
      </c>
      <c r="F54" s="169" t="s">
        <v>15476</v>
      </c>
      <c r="G54" s="25"/>
    </row>
    <row r="55" spans="1:7" ht="40">
      <c r="A55" s="312"/>
      <c r="B55" s="160">
        <v>6.22</v>
      </c>
      <c r="C55" s="149" t="s">
        <v>13129</v>
      </c>
      <c r="D55" s="274">
        <v>44692</v>
      </c>
      <c r="E55" s="169" t="s">
        <v>15485</v>
      </c>
      <c r="F55" s="169" t="s">
        <v>15476</v>
      </c>
      <c r="G55" s="25"/>
    </row>
    <row r="56" spans="1:7" ht="50">
      <c r="A56" s="312"/>
      <c r="B56" s="202">
        <v>6.3</v>
      </c>
      <c r="C56" s="149" t="s">
        <v>13129</v>
      </c>
      <c r="D56" s="274">
        <v>45051</v>
      </c>
      <c r="E56" s="169" t="s">
        <v>15753</v>
      </c>
      <c r="F56" s="169" t="s">
        <v>15534</v>
      </c>
      <c r="G56" s="25"/>
    </row>
    <row r="57" spans="1:7" ht="40">
      <c r="A57" s="312"/>
      <c r="B57" s="160">
        <v>6.31</v>
      </c>
      <c r="C57" s="149" t="s">
        <v>13129</v>
      </c>
      <c r="D57" s="274">
        <v>45072</v>
      </c>
      <c r="E57" s="169" t="s">
        <v>15755</v>
      </c>
      <c r="F57" s="169" t="s">
        <v>15534</v>
      </c>
      <c r="G57" s="25"/>
    </row>
    <row r="58" spans="1:7" ht="44.4" customHeight="1">
      <c r="A58" s="312"/>
      <c r="B58" s="202">
        <v>6.4</v>
      </c>
      <c r="C58" s="149" t="s">
        <v>13129</v>
      </c>
      <c r="D58" s="274">
        <v>45408</v>
      </c>
      <c r="E58" s="169" t="s">
        <v>15757</v>
      </c>
      <c r="F58" s="169" t="s">
        <v>15756</v>
      </c>
      <c r="G58" s="25"/>
    </row>
    <row r="59" spans="1:7" ht="14" thickBot="1">
      <c r="A59" s="313"/>
      <c r="B59" s="314" t="str">
        <f ca="1">OFFSET(L!$C$1,MATCH("General"&amp;"Cpy",L!$A:$A,0)-1,SL,,)</f>
        <v>© 2024 Responsible Minerals Initiative. All rights reserved.</v>
      </c>
      <c r="C59" s="314"/>
      <c r="D59" s="314"/>
      <c r="E59" s="314"/>
      <c r="F59" s="314"/>
      <c r="G59" s="26"/>
    </row>
    <row r="60" spans="1:7" ht="14" thickTop="1"/>
  </sheetData>
  <sheetProtection sheet="1" formatCells="0" formatColumns="0" formatRows="0" insertColumns="0" insertRows="0" insertHyperlinks="0" deleteColumns="0" deleteRows="0" sort="0" autoFilter="0" pivotTables="0"/>
  <customSheetViews>
    <customSheetView guid="{81CF54B1-70AB-4A68-BB72-21925B5D4874}" outlineSymbols="0" zeroValues="0" state="hidden">
      <selection activeCell="E26" sqref="E26"/>
    </customSheetView>
    <customSheetView guid="{51531B83-BDD7-4890-A744-04812A317369}" outlineSymbols="0" zeroValues="0" fitToPage="1" topLeftCell="A2">
      <pane xSplit="1" ySplit="11" topLeftCell="B47" activePane="bottomRight" state="frozen"/>
      <selection pane="bottomRight" activeCell="E48" sqref="E48"/>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honeticPr fontId="83" type="noConversion"/>
  <pageMargins left="0.70866141732283505" right="0.70866141732283505" top="0.74803149606299202" bottom="0.74803149606299202" header="0.31496062992126" footer="0.31496062992126"/>
  <pageSetup scale="5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20">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sheet="1" formatCells="0" formatColumns="0" formatRows="0" insertColumns="0" insertRows="0" insertHyperlinks="0" deleteColumns="0" deleteRows="0" sort="0" autoFilter="0" pivotTables="0"/>
  <customSheetViews>
    <customSheetView guid="{81CF54B1-70AB-4A68-BB72-21925B5D4874}" outlineSymbols="0" zeroValues="0" hiddenColumns="1">
      <selection activeCell="C3" sqref="C3:G3"/>
    </customSheetView>
    <customSheetView guid="{51531B83-BDD7-4890-A744-04812A317369}" scale="60" outlineSymbols="0" zeroValues="0" fitToPage="1"/>
  </customSheetViews>
  <phoneticPr fontId="83" type="noConversion"/>
  <hyperlinks>
    <hyperlink ref="A76" location="Declaration!A1" display="Return to declaration tab" xr:uid="{00000000-0004-0000-0100-000000000000}"/>
  </hyperlinks>
  <printOptions gridLinesSet="0"/>
  <pageMargins left="0.70866141732283505" right="0.70866141732283505" top="0.74803149606299202" bottom="0.74803149606299202" header="0.31496062992126" footer="0.31496062992126"/>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27"/>
      <c r="B1" s="328"/>
      <c r="C1" s="328"/>
      <c r="D1" s="329"/>
    </row>
    <row r="2" spans="1:5" ht="71.25" customHeight="1">
      <c r="A2" s="74"/>
      <c r="B2" s="137" t="str">
        <f ca="1">OFFSET(L!$C$1,MATCH("Definitions"&amp;ADDRESS(ROW(),COLUMN(),4),L!$A:$A,0)-1,SL,,)</f>
        <v>ITEM</v>
      </c>
      <c r="C2" s="137" t="str">
        <f ca="1">OFFSET(L!$C$1,MATCH("Definitions"&amp;ADDRESS(ROW(),COLUMN(),4),L!$A:$A,0)-1,SL,,)</f>
        <v>DEFINITION</v>
      </c>
      <c r="D2" s="331"/>
      <c r="E2" s="101"/>
    </row>
    <row r="3" spans="1:5" ht="64" customHeight="1">
      <c r="A3" s="74"/>
      <c r="B3" s="63" t="str">
        <f ca="1">OFFSET(L!$C$1,MATCH("Definitions"&amp;ADDRESS(ROW(),COLUMN(),4),L!$A:$A,0)-1,SL,,)</f>
        <v>3TG</v>
      </c>
      <c r="C3" s="63" t="str">
        <f ca="1">OFFSET(L!$C$1,MATCH("Definitions"&amp;ADDRESS(ROW(),COLUMN(),4),L!$A:$A,0)-1,SL,,)</f>
        <v>Tantalum, tin, tungsten, gold</v>
      </c>
      <c r="D3" s="33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3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3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31"/>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3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3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31"/>
      <c r="E9" s="100" t="s">
        <v>1301</v>
      </c>
    </row>
    <row r="10" spans="1:5" ht="45">
      <c r="A10" s="74"/>
      <c r="B10" s="63" t="str">
        <f ca="1">OFFSET(L!$C$1,MATCH("Definitions"&amp;ADDRESS(ROW(),COLUMN(),4),L!$A:$A,0)-1,SL,,)</f>
        <v>DRC</v>
      </c>
      <c r="C10" s="63" t="str">
        <f ca="1">OFFSET(L!$C$1,MATCH("Definitions"&amp;ADDRESS(ROW(),COLUMN(),4),L!$A:$A,0)-1,SL,,)</f>
        <v>Democratic Republic of Congo</v>
      </c>
      <c r="D10" s="33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3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3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31"/>
      <c r="E13" s="100" t="s">
        <v>1302</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3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3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31"/>
      <c r="E16" s="100" t="s">
        <v>1300</v>
      </c>
    </row>
    <row r="17" spans="1:5" ht="165">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3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3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3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31"/>
      <c r="E20" s="100"/>
    </row>
    <row r="21" spans="1:5" ht="15">
      <c r="A21" s="74"/>
      <c r="B21" s="63" t="str">
        <f ca="1">OFFSET(L!$C$1,MATCH("Definitions"&amp;ADDRESS(ROW(),COLUMN(),4),L!$A:$A,0)-1,SL,,)</f>
        <v>RBA</v>
      </c>
      <c r="C21" s="63" t="str">
        <f ca="1">OFFSET(L!$C$1,MATCH("Definitions"&amp;ADDRESS(ROW(),COLUMN(),4),L!$A:$A,0)-1,SL,,)</f>
        <v>Responsible Business Alliance (www.responsiblebusiness.org)</v>
      </c>
      <c r="D21" s="33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3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3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3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3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31"/>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3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3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3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31"/>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31"/>
      <c r="E31" s="100"/>
    </row>
    <row r="32" spans="1:5" ht="15">
      <c r="A32" s="74"/>
      <c r="B32" s="330" t="str">
        <f ca="1">OFFSET(L!$C$1,MATCH("General"&amp;"Cpy",L!$A:$A,0)-1,SL,,)</f>
        <v>© 2024 Responsible Minerals Initiative. All rights reserved.</v>
      </c>
      <c r="C32" s="330"/>
      <c r="D32" s="331"/>
      <c r="E32" s="100"/>
    </row>
    <row r="33" spans="1:4" ht="14" thickBot="1">
      <c r="A33" s="75"/>
      <c r="B33" s="153"/>
      <c r="C33" s="153"/>
      <c r="D33" s="332"/>
    </row>
    <row r="34" spans="1:4" ht="14" thickTop="1"/>
  </sheetData>
  <sheetProtection sheet="1" formatCells="0" formatColumns="0" formatRows="0" insertColumns="0" insertRows="0" insertHyperlinks="0" deleteColumns="0" deleteRows="0" sort="0" autoFilter="0" pivotTables="0"/>
  <customSheetViews>
    <customSheetView guid="{81CF54B1-70AB-4A68-BB72-21925B5D4874}" outlineSymbols="0" zeroValues="0" hiddenColumns="1">
      <selection activeCell="F3" sqref="F3:J3"/>
    </customSheetView>
    <customSheetView guid="{51531B83-BDD7-4890-A744-04812A317369}" scale="80" outlineSymbols="0" zeroValues="0" fitToPage="1">
      <pane ySplit="2" topLeftCell="A10" activePane="bottomLeft" state="frozen"/>
      <selection pane="bottomLeft" activeCell="C13" sqref="C13"/>
    </customSheetView>
  </customSheetViews>
  <mergeCells count="3">
    <mergeCell ref="A1:D1"/>
    <mergeCell ref="B32:C32"/>
    <mergeCell ref="D2:D33"/>
  </mergeCells>
  <phoneticPr fontId="83" type="noConversion"/>
  <pageMargins left="0.70866141732283505" right="0.70866141732283505" top="0.74803149606299202" bottom="0.74803149606299202" header="0.31496062992126" footer="0.31496062992126"/>
  <pageSetup scale="50"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10" zoomScalePageLayoutView="70" workbookViewId="0">
      <selection activeCell="D23" sqref="D23:E23"/>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ols>
  <sheetData>
    <row r="1" spans="1:34" ht="15.5" thickTop="1">
      <c r="A1" s="367"/>
      <c r="B1" s="368"/>
      <c r="C1" s="368"/>
      <c r="D1" s="368"/>
      <c r="E1" s="368"/>
      <c r="F1" s="368"/>
      <c r="G1" s="368"/>
      <c r="H1" s="368"/>
      <c r="I1" s="368"/>
      <c r="J1" s="368"/>
      <c r="K1" s="369"/>
      <c r="L1" s="100"/>
      <c r="P1" s="3"/>
      <c r="Q1" s="3"/>
      <c r="R1" s="3"/>
      <c r="S1" s="3"/>
      <c r="T1" s="3"/>
      <c r="U1" s="3"/>
      <c r="V1" s="3"/>
      <c r="W1" s="3"/>
      <c r="X1" s="3"/>
      <c r="Y1" s="3"/>
      <c r="Z1" s="3"/>
      <c r="AA1" s="3"/>
      <c r="AB1" s="3"/>
      <c r="AC1" s="3"/>
      <c r="AD1" s="3"/>
      <c r="AE1" s="3"/>
      <c r="AF1" s="3"/>
      <c r="AG1" s="3"/>
      <c r="AH1" s="3"/>
    </row>
    <row r="2" spans="1:34" ht="82.4" customHeight="1">
      <c r="A2" s="34"/>
      <c r="B2" s="136"/>
      <c r="C2" s="35"/>
      <c r="D2" s="370" t="str">
        <f ca="1">OFFSET(L!$C$1,MATCH("Declaration"&amp;ADDRESS(ROW(),COLUMN(),4),L!$A:$A,0)-1,SL,,)</f>
        <v>Conflict Minerals Reporting Template (CMRT)</v>
      </c>
      <c r="E2" s="371"/>
      <c r="F2" s="371"/>
      <c r="G2" s="371"/>
      <c r="H2" s="371"/>
      <c r="I2" s="371"/>
      <c r="J2" s="37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80"/>
      <c r="G3" s="380"/>
      <c r="H3" s="380"/>
      <c r="I3" s="152"/>
      <c r="J3" s="138" t="s">
        <v>15760</v>
      </c>
      <c r="K3" s="36"/>
      <c r="L3" s="100"/>
      <c r="P3" s="45">
        <f>MATCH($D$3,LN,0)</f>
        <v>1</v>
      </c>
    </row>
    <row r="4" spans="1:34" ht="15">
      <c r="A4" s="34"/>
      <c r="B4" s="376" t="str">
        <f ca="1">OFFSET(L!$C$1,MATCH("Declaration"&amp;ADDRESS(ROW(),COLUMN(),4),L!$A:$A,0)-1,SL,,)</f>
        <v>The purpose of this document is to collect sourcing information on tin, tantalum, tungsten and gold used in products</v>
      </c>
      <c r="C4" s="376"/>
      <c r="D4" s="376"/>
      <c r="E4" s="376"/>
      <c r="F4" s="376"/>
      <c r="G4" s="376"/>
      <c r="H4" s="376"/>
      <c r="I4" s="381" t="str">
        <f ca="1">OFFSET(L!$C$1,MATCH("Declaration"&amp;ADDRESS(ROW(),COLUMN(),4),L!$A:$A,0)-1,SL,,)</f>
        <v>Link to Terms &amp; Conditions</v>
      </c>
      <c r="J4" s="38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76" t="str">
        <f ca="1">OFFSET(L!$C$1,MATCH("Declaration"&amp;ADDRESS(ROW(),COLUMN(),4),L!$A:$A,0)-1,SL,,)</f>
        <v>Mandatory fields are noted with an asterisk (*).  Consult the instructions tab for guidance on how to answer each question.</v>
      </c>
      <c r="C6" s="376"/>
      <c r="D6" s="376"/>
      <c r="E6" s="376"/>
      <c r="F6" s="376"/>
      <c r="G6" s="376"/>
      <c r="H6" s="376"/>
      <c r="I6" s="376"/>
      <c r="J6" s="376"/>
      <c r="K6" s="36"/>
      <c r="L6" s="115" t="s">
        <v>439</v>
      </c>
      <c r="P6" s="3"/>
      <c r="Q6" s="3"/>
      <c r="R6" s="3"/>
      <c r="S6" s="3"/>
      <c r="T6" s="3"/>
      <c r="U6" s="3"/>
      <c r="V6" s="3"/>
      <c r="W6" s="3"/>
      <c r="X6" s="3"/>
      <c r="Y6" s="3"/>
      <c r="Z6" s="3"/>
      <c r="AA6" s="3"/>
      <c r="AB6" s="3"/>
      <c r="AC6" s="3"/>
      <c r="AD6" s="3"/>
      <c r="AE6" s="3"/>
      <c r="AF6" s="3"/>
      <c r="AG6" s="3"/>
      <c r="AH6" s="3"/>
    </row>
    <row r="7" spans="1:34" ht="37" customHeight="1">
      <c r="A7" s="34"/>
      <c r="B7" s="385" t="str">
        <f ca="1">OFFSET(L!$C$1,MATCH("Declaration"&amp;ADDRESS(ROW(),COLUMN(),4),L!$A:$A,0)-1,SL,,)</f>
        <v>Company Information</v>
      </c>
      <c r="C7" s="385"/>
      <c r="D7" s="385"/>
      <c r="E7" s="385"/>
      <c r="F7" s="385"/>
      <c r="G7" s="385"/>
      <c r="H7" s="385"/>
      <c r="I7" s="385"/>
      <c r="J7" s="385"/>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73" t="s">
        <v>17133</v>
      </c>
      <c r="E8" s="374"/>
      <c r="F8" s="374"/>
      <c r="G8" s="374"/>
      <c r="H8" s="374"/>
      <c r="I8" s="374"/>
      <c r="J8" s="375"/>
      <c r="K8" s="39"/>
      <c r="L8" s="115"/>
      <c r="P8" s="3"/>
      <c r="Q8" s="3"/>
      <c r="R8" s="3"/>
      <c r="S8" s="3"/>
      <c r="T8" s="3"/>
      <c r="U8" s="3"/>
      <c r="V8" s="3"/>
      <c r="W8" s="3"/>
      <c r="X8" s="3"/>
      <c r="Y8" s="3"/>
      <c r="Z8" s="3"/>
      <c r="AA8" s="3"/>
      <c r="AB8" s="3"/>
      <c r="AC8" s="3"/>
      <c r="AD8" s="3"/>
      <c r="AE8" s="3"/>
      <c r="AF8" s="3"/>
      <c r="AG8" s="3"/>
      <c r="AH8" s="3"/>
    </row>
    <row r="9" spans="1:34" ht="17">
      <c r="A9" s="38"/>
      <c r="B9" s="73" t="str">
        <f ca="1">OFFSET(L!$C$1,MATCH("Declaration"&amp;ADDRESS(ROW(),COLUMN(),4),L!$A:$A,0)-1,SL,,)</f>
        <v>Declaration Scope or Class (*):</v>
      </c>
      <c r="C9" s="76"/>
      <c r="D9" s="382" t="s">
        <v>490</v>
      </c>
      <c r="E9" s="383"/>
      <c r="F9" s="383"/>
      <c r="G9" s="38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86" t="str">
        <f ca="1">OFFSET(L!$C$1,MATCH("Declaration"&amp;ADDRESS(ROW(),COLUMN(),4)&amp;LEFT($D$9,1),L!$A:$A,0)-1,SL,,)</f>
        <v>Description of Scope:</v>
      </c>
      <c r="C10" s="122"/>
      <c r="D10" s="377" t="s">
        <v>15855</v>
      </c>
      <c r="E10" s="378"/>
      <c r="F10" s="378"/>
      <c r="G10" s="378"/>
      <c r="H10" s="378"/>
      <c r="I10" s="378"/>
      <c r="J10" s="379"/>
      <c r="K10" s="36"/>
      <c r="L10" s="115"/>
      <c r="Q10" s="3"/>
      <c r="R10" s="3"/>
      <c r="S10" s="3"/>
      <c r="T10" s="3"/>
      <c r="U10" s="3"/>
      <c r="V10" s="3"/>
      <c r="W10" s="3"/>
      <c r="X10" s="3"/>
      <c r="Y10" s="3"/>
      <c r="Z10" s="3"/>
      <c r="AA10" s="3"/>
      <c r="AB10" s="3"/>
      <c r="AC10" s="3"/>
      <c r="AD10" s="3"/>
      <c r="AE10" s="3"/>
      <c r="AF10" s="3"/>
      <c r="AG10" s="3"/>
      <c r="AH10" s="3"/>
    </row>
    <row r="11" spans="1:34" ht="17">
      <c r="A11" s="38"/>
      <c r="B11" s="387"/>
      <c r="C11" s="122"/>
      <c r="D11" s="352" t="str">
        <f ca="1">IF(D9=Q9,OFFSET(L!$C$1,MATCH("Declaration"&amp;ADDRESS(ROW(),COLUMN(),4),L!$A:$A,0)-1,SL,,),"")</f>
        <v/>
      </c>
      <c r="E11" s="353"/>
      <c r="F11" s="353"/>
      <c r="G11" s="353"/>
      <c r="H11" s="353"/>
      <c r="I11" s="353"/>
      <c r="J11" s="354"/>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60" t="s">
        <v>15855</v>
      </c>
      <c r="E12" s="361"/>
      <c r="F12" s="361"/>
      <c r="G12" s="361"/>
      <c r="H12" s="361"/>
      <c r="I12" s="361"/>
      <c r="J12" s="36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60" t="s">
        <v>15855</v>
      </c>
      <c r="E13" s="361"/>
      <c r="F13" s="361"/>
      <c r="G13" s="361"/>
      <c r="H13" s="361"/>
      <c r="I13" s="361"/>
      <c r="J13" s="36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60" t="s">
        <v>17134</v>
      </c>
      <c r="E14" s="361"/>
      <c r="F14" s="361"/>
      <c r="G14" s="361"/>
      <c r="H14" s="361"/>
      <c r="I14" s="361"/>
      <c r="J14" s="36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60" t="s">
        <v>17135</v>
      </c>
      <c r="E15" s="361"/>
      <c r="F15" s="361"/>
      <c r="G15" s="361"/>
      <c r="H15" s="361"/>
      <c r="I15" s="361"/>
      <c r="J15" s="362"/>
      <c r="K15" s="36"/>
      <c r="L15" s="115"/>
      <c r="Q15" s="3"/>
      <c r="R15" s="3"/>
      <c r="S15" s="3"/>
      <c r="T15" s="3"/>
      <c r="U15" s="3"/>
      <c r="V15" s="3"/>
      <c r="W15" s="3"/>
      <c r="X15" s="3"/>
      <c r="Y15" s="3"/>
      <c r="Z15" s="3"/>
      <c r="AA15" s="3"/>
      <c r="AB15" s="3"/>
      <c r="AC15" s="3"/>
      <c r="AD15" s="3"/>
      <c r="AE15" s="3"/>
      <c r="AF15" s="3"/>
      <c r="AG15" s="3"/>
      <c r="AH15" s="3"/>
    </row>
    <row r="16" spans="1:34" ht="17">
      <c r="A16" s="38"/>
      <c r="B16" s="40" t="str">
        <f ca="1">OFFSET(L!$C$1,MATCH("Declaration"&amp;ADDRESS(ROW(),COLUMN(),4),L!$A:$A,0)-1,SL,,)</f>
        <v>Email – Contact (*):</v>
      </c>
      <c r="C16" s="77"/>
      <c r="D16" s="388" t="s">
        <v>17136</v>
      </c>
      <c r="E16" s="389"/>
      <c r="F16" s="389"/>
      <c r="G16" s="389"/>
      <c r="H16" s="389"/>
      <c r="I16" s="389"/>
      <c r="J16" s="39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60" t="s">
        <v>17137</v>
      </c>
      <c r="E17" s="361"/>
      <c r="F17" s="361"/>
      <c r="G17" s="361"/>
      <c r="H17" s="361"/>
      <c r="I17" s="361"/>
      <c r="J17" s="36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33" t="s">
        <v>17138</v>
      </c>
      <c r="E18" s="334"/>
      <c r="F18" s="334"/>
      <c r="G18" s="334"/>
      <c r="H18" s="334"/>
      <c r="I18" s="334"/>
      <c r="J18" s="33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60" t="s">
        <v>17139</v>
      </c>
      <c r="E19" s="361"/>
      <c r="F19" s="361"/>
      <c r="G19" s="361"/>
      <c r="H19" s="361"/>
      <c r="I19" s="361"/>
      <c r="J19" s="36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88" t="s">
        <v>17140</v>
      </c>
      <c r="E20" s="389"/>
      <c r="F20" s="389"/>
      <c r="G20" s="389"/>
      <c r="H20" s="389"/>
      <c r="I20" s="389"/>
      <c r="J20" s="390"/>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91" t="s">
        <v>17141</v>
      </c>
      <c r="E21" s="392"/>
      <c r="F21" s="392"/>
      <c r="G21" s="392"/>
      <c r="H21" s="392"/>
      <c r="I21" s="392"/>
      <c r="J21" s="393"/>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94">
        <v>45755</v>
      </c>
      <c r="E22" s="39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63"/>
      <c r="E23" s="36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96" t="str">
        <f ca="1">OFFSET(L!$C$1,MATCH("Declaration"&amp;ADDRESS(ROW(),COLUMN(),4),L!$A:$A,0)-1,SL,,)</f>
        <v>Answer the following questions 1 - 8 based on the declaration scope indicated above</v>
      </c>
      <c r="C24" s="396"/>
      <c r="D24" s="396"/>
      <c r="E24" s="396"/>
      <c r="F24" s="396"/>
      <c r="G24" s="396"/>
      <c r="H24" s="396"/>
      <c r="I24" s="396"/>
      <c r="J24" s="396"/>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43" t="str">
        <f ca="1">OFFSET(L!$C$1,MATCH("Declaration"&amp;ADDRESS(ROW(),COLUMN(),4),L!$A:$A,0)-1,SL,,)</f>
        <v>Answer</v>
      </c>
      <c r="E25" s="34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36" t="s">
        <v>484</v>
      </c>
      <c r="E26" s="337"/>
      <c r="F26" s="12"/>
      <c r="G26" s="338"/>
      <c r="H26" s="339"/>
      <c r="I26" s="339"/>
      <c r="J26" s="340"/>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36" t="s">
        <v>484</v>
      </c>
      <c r="E27" s="337"/>
      <c r="F27" s="12"/>
      <c r="G27" s="338"/>
      <c r="H27" s="339"/>
      <c r="I27" s="339"/>
      <c r="J27" s="340"/>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36" t="s">
        <v>484</v>
      </c>
      <c r="E28" s="337"/>
      <c r="F28" s="12"/>
      <c r="G28" s="338"/>
      <c r="H28" s="339"/>
      <c r="I28" s="339"/>
      <c r="J28" s="340"/>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36" t="s">
        <v>484</v>
      </c>
      <c r="E29" s="337"/>
      <c r="F29" s="12"/>
      <c r="G29" s="338"/>
      <c r="H29" s="339"/>
      <c r="I29" s="339"/>
      <c r="J29" s="340"/>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45" t="str">
        <f ca="1">D25</f>
        <v>Answer</v>
      </c>
      <c r="E31" s="34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55" t="s">
        <v>484</v>
      </c>
      <c r="E32" s="356"/>
      <c r="F32" s="47"/>
      <c r="G32" s="338"/>
      <c r="H32" s="339"/>
      <c r="I32" s="339"/>
      <c r="J32" s="340"/>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36" t="s">
        <v>484</v>
      </c>
      <c r="E33" s="337"/>
      <c r="F33" s="47"/>
      <c r="G33" s="338"/>
      <c r="H33" s="339"/>
      <c r="I33" s="339"/>
      <c r="J33" s="340"/>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36" t="s">
        <v>484</v>
      </c>
      <c r="E34" s="337"/>
      <c r="F34" s="47"/>
      <c r="G34" s="338"/>
      <c r="H34" s="339"/>
      <c r="I34" s="339"/>
      <c r="J34" s="340"/>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36" t="s">
        <v>484</v>
      </c>
      <c r="E35" s="337"/>
      <c r="F35" s="47"/>
      <c r="G35" s="338"/>
      <c r="H35" s="339"/>
      <c r="I35" s="339"/>
      <c r="J35" s="340"/>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45" t="str">
        <f ca="1">D25</f>
        <v>Answer</v>
      </c>
      <c r="E37" s="345"/>
      <c r="F37" s="18"/>
      <c r="G37" s="44" t="str">
        <f ca="1">G25</f>
        <v>Comments</v>
      </c>
      <c r="H37" s="359"/>
      <c r="I37" s="359"/>
      <c r="J37" s="35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36" t="s">
        <v>485</v>
      </c>
      <c r="E38" s="337"/>
      <c r="F38" s="47"/>
      <c r="G38" s="338"/>
      <c r="H38" s="339"/>
      <c r="I38" s="339"/>
      <c r="J38" s="340"/>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36" t="s">
        <v>485</v>
      </c>
      <c r="E39" s="337"/>
      <c r="F39" s="47"/>
      <c r="G39" s="338"/>
      <c r="H39" s="339"/>
      <c r="I39" s="339"/>
      <c r="J39" s="340"/>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36" t="s">
        <v>485</v>
      </c>
      <c r="E40" s="337"/>
      <c r="F40" s="47"/>
      <c r="G40" s="338"/>
      <c r="H40" s="339"/>
      <c r="I40" s="339"/>
      <c r="J40" s="340"/>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36" t="s">
        <v>485</v>
      </c>
      <c r="E41" s="337"/>
      <c r="F41" s="47"/>
      <c r="G41" s="338"/>
      <c r="H41" s="339"/>
      <c r="I41" s="339"/>
      <c r="J41" s="340"/>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45" t="str">
        <f ca="1">D25</f>
        <v>Answer</v>
      </c>
      <c r="E43" s="34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36" t="s">
        <v>485</v>
      </c>
      <c r="E44" s="337"/>
      <c r="F44" s="47"/>
      <c r="G44" s="338"/>
      <c r="H44" s="339"/>
      <c r="I44" s="339"/>
      <c r="J44" s="340"/>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36" t="s">
        <v>485</v>
      </c>
      <c r="E45" s="337"/>
      <c r="F45" s="47"/>
      <c r="G45" s="338"/>
      <c r="H45" s="339"/>
      <c r="I45" s="339"/>
      <c r="J45" s="340"/>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36" t="s">
        <v>485</v>
      </c>
      <c r="E46" s="337"/>
      <c r="F46" s="47"/>
      <c r="G46" s="338"/>
      <c r="H46" s="339"/>
      <c r="I46" s="339"/>
      <c r="J46" s="340"/>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36" t="s">
        <v>485</v>
      </c>
      <c r="E47" s="337"/>
      <c r="F47" s="47"/>
      <c r="G47" s="338"/>
      <c r="H47" s="339"/>
      <c r="I47" s="339"/>
      <c r="J47" s="340"/>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45" t="str">
        <f ca="1">D25</f>
        <v>Answer</v>
      </c>
      <c r="E49" s="34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36" t="s">
        <v>486</v>
      </c>
      <c r="E50" s="337"/>
      <c r="F50" s="47"/>
      <c r="G50" s="338"/>
      <c r="H50" s="339"/>
      <c r="I50" s="339"/>
      <c r="J50" s="340"/>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36" t="s">
        <v>486</v>
      </c>
      <c r="E51" s="337"/>
      <c r="F51" s="47"/>
      <c r="G51" s="338"/>
      <c r="H51" s="339"/>
      <c r="I51" s="339"/>
      <c r="J51" s="340"/>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36" t="s">
        <v>486</v>
      </c>
      <c r="E52" s="337"/>
      <c r="F52" s="47"/>
      <c r="G52" s="338"/>
      <c r="H52" s="339"/>
      <c r="I52" s="339"/>
      <c r="J52" s="340"/>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36" t="s">
        <v>486</v>
      </c>
      <c r="E53" s="337"/>
      <c r="F53" s="47"/>
      <c r="G53" s="338"/>
      <c r="H53" s="339"/>
      <c r="I53" s="339"/>
      <c r="J53" s="340"/>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6" t="str">
        <f ca="1">OFFSET(L!$C$1,MATCH("Declaration"&amp;ADDRESS(ROW(),COLUMN(),4),L!$A:$A,0)-1,SL,,)&amp;Q$37</f>
        <v>6) What percentage of relevant suppliers have provided a response to your supply chain survey?  (*)</v>
      </c>
      <c r="C55" s="10"/>
      <c r="D55" s="345" t="str">
        <f ca="1">D25</f>
        <v>Answer</v>
      </c>
      <c r="E55" s="34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57" t="s">
        <v>2463</v>
      </c>
      <c r="E56" s="358"/>
      <c r="F56" s="47"/>
      <c r="G56" s="338"/>
      <c r="H56" s="339"/>
      <c r="I56" s="339"/>
      <c r="J56" s="340"/>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57" t="s">
        <v>2464</v>
      </c>
      <c r="E57" s="358"/>
      <c r="F57" s="47"/>
      <c r="G57" s="338"/>
      <c r="H57" s="339"/>
      <c r="I57" s="339"/>
      <c r="J57" s="340"/>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57" t="s">
        <v>2464</v>
      </c>
      <c r="E58" s="358"/>
      <c r="F58" s="47"/>
      <c r="G58" s="338"/>
      <c r="H58" s="339"/>
      <c r="I58" s="339"/>
      <c r="J58" s="340"/>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57" t="s">
        <v>2463</v>
      </c>
      <c r="E59" s="358"/>
      <c r="F59" s="47"/>
      <c r="G59" s="338"/>
      <c r="H59" s="339"/>
      <c r="I59" s="339"/>
      <c r="J59" s="340"/>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6" t="str">
        <f ca="1">OFFSET(L!$C$1,MATCH("Declaration"&amp;ADDRESS(ROW(),COLUMN(),4),L!$A:$A,0)-1,SL,,)&amp;Q$37</f>
        <v>7) Have you identified all of the smelters supplying the 3TG to your supply chain?  (*)</v>
      </c>
      <c r="C61" s="10"/>
      <c r="D61" s="345" t="str">
        <f ca="1">D25</f>
        <v>Answer</v>
      </c>
      <c r="E61" s="345"/>
      <c r="F61" s="18"/>
      <c r="G61" s="44" t="str">
        <f ca="1">G25</f>
        <v>Comments</v>
      </c>
      <c r="H61" s="342"/>
      <c r="I61" s="342"/>
      <c r="J61" s="342"/>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55" t="s">
        <v>484</v>
      </c>
      <c r="E62" s="356"/>
      <c r="F62" s="47"/>
      <c r="G62" s="338"/>
      <c r="H62" s="339"/>
      <c r="I62" s="339"/>
      <c r="J62" s="340"/>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36" t="s">
        <v>484</v>
      </c>
      <c r="E63" s="337"/>
      <c r="F63" s="47"/>
      <c r="G63" s="338"/>
      <c r="H63" s="339"/>
      <c r="I63" s="339"/>
      <c r="J63" s="340"/>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36" t="s">
        <v>484</v>
      </c>
      <c r="E64" s="337"/>
      <c r="F64" s="47"/>
      <c r="G64" s="338"/>
      <c r="H64" s="339"/>
      <c r="I64" s="339"/>
      <c r="J64" s="340"/>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36" t="s">
        <v>484</v>
      </c>
      <c r="E65" s="337"/>
      <c r="F65" s="47"/>
      <c r="G65" s="338"/>
      <c r="H65" s="339"/>
      <c r="I65" s="339"/>
      <c r="J65" s="340"/>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45" t="str">
        <f ca="1">D25</f>
        <v>Answer</v>
      </c>
      <c r="E67" s="345"/>
      <c r="F67" s="18"/>
      <c r="G67" s="44" t="str">
        <f ca="1">G25</f>
        <v>Comments</v>
      </c>
      <c r="H67" s="342" t="str">
        <f>IF(Q75="(*)","Click here to enter smelter names","")</f>
        <v/>
      </c>
      <c r="I67" s="342"/>
      <c r="J67" s="342"/>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36" t="s">
        <v>484</v>
      </c>
      <c r="E68" s="337"/>
      <c r="F68" s="48"/>
      <c r="G68" s="338"/>
      <c r="H68" s="339"/>
      <c r="I68" s="339"/>
      <c r="J68" s="340"/>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36" t="s">
        <v>484</v>
      </c>
      <c r="E69" s="337"/>
      <c r="F69" s="48"/>
      <c r="G69" s="338"/>
      <c r="H69" s="339"/>
      <c r="I69" s="339"/>
      <c r="J69" s="340"/>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36" t="s">
        <v>484</v>
      </c>
      <c r="E70" s="337"/>
      <c r="F70" s="48"/>
      <c r="G70" s="338"/>
      <c r="H70" s="339"/>
      <c r="I70" s="339"/>
      <c r="J70" s="340"/>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36" t="s">
        <v>484</v>
      </c>
      <c r="E71" s="337"/>
      <c r="F71" s="50"/>
      <c r="G71" s="338"/>
      <c r="H71" s="339"/>
      <c r="I71" s="339"/>
      <c r="J71" s="34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41" t="str">
        <f ca="1">OFFSET(L!$C$1,MATCH("Declaration"&amp;ADDRESS(ROW(),COLUMN(),4),L!$A:$A,0)-1,SL,,)</f>
        <v>Answer the Following Questions at a Company Level</v>
      </c>
      <c r="C73" s="341"/>
      <c r="D73" s="341"/>
      <c r="E73" s="341"/>
      <c r="F73" s="341"/>
      <c r="G73" s="341"/>
      <c r="H73" s="341"/>
      <c r="I73" s="341"/>
      <c r="J73" s="341"/>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43" t="str">
        <f ca="1">D25</f>
        <v>Answer</v>
      </c>
      <c r="E74" s="343"/>
      <c r="F74" s="53"/>
      <c r="G74" s="343" t="str">
        <f ca="1">G25</f>
        <v>Comments</v>
      </c>
      <c r="H74" s="343" t="e">
        <f>HLOOKUP(SL,LT,$O74,0)</f>
        <v>#NAME?</v>
      </c>
      <c r="I74" s="34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36" t="s">
        <v>484</v>
      </c>
      <c r="E75" s="337"/>
      <c r="F75" s="57"/>
      <c r="G75" s="338"/>
      <c r="H75" s="339"/>
      <c r="I75" s="339"/>
      <c r="J75" s="340"/>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44"/>
      <c r="H76" s="344"/>
      <c r="I76" s="344"/>
      <c r="J76" s="344"/>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36" t="s">
        <v>484</v>
      </c>
      <c r="E77" s="337"/>
      <c r="F77" s="57"/>
      <c r="G77" s="364" t="s">
        <v>17143</v>
      </c>
      <c r="H77" s="365"/>
      <c r="I77" s="365"/>
      <c r="J77" s="366"/>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36" t="s">
        <v>485</v>
      </c>
      <c r="E79" s="337"/>
      <c r="F79" s="57"/>
      <c r="G79" s="338" t="s">
        <v>17142</v>
      </c>
      <c r="H79" s="339"/>
      <c r="I79" s="339"/>
      <c r="J79" s="340"/>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36" t="s">
        <v>484</v>
      </c>
      <c r="E81" s="337"/>
      <c r="F81" s="57"/>
      <c r="G81" s="338"/>
      <c r="H81" s="339"/>
      <c r="I81" s="339"/>
      <c r="J81" s="340"/>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36" t="s">
        <v>14954</v>
      </c>
      <c r="E83" s="337"/>
      <c r="F83" s="57"/>
      <c r="G83" s="338"/>
      <c r="H83" s="339"/>
      <c r="I83" s="339"/>
      <c r="J83" s="34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49" t="s">
        <v>484</v>
      </c>
      <c r="E85" s="350"/>
      <c r="F85" s="57"/>
      <c r="G85" s="338"/>
      <c r="H85" s="339"/>
      <c r="I85" s="339"/>
      <c r="J85" s="340"/>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44"/>
      <c r="H86" s="344"/>
      <c r="I86" s="344"/>
      <c r="J86" s="344"/>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36" t="s">
        <v>485</v>
      </c>
      <c r="E87" s="337"/>
      <c r="F87" s="57"/>
      <c r="G87" s="338"/>
      <c r="H87" s="339"/>
      <c r="I87" s="339"/>
      <c r="J87" s="340"/>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51"/>
      <c r="H88" s="351"/>
      <c r="I88" s="351"/>
      <c r="J88" s="35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36" t="s">
        <v>13946</v>
      </c>
      <c r="E89" s="337"/>
      <c r="F89" s="57"/>
      <c r="G89" s="338"/>
      <c r="H89" s="339"/>
      <c r="I89" s="339"/>
      <c r="J89" s="34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48" t="str">
        <f>IF(OR($D$8="",$I$3=""),"","Click here to check required fields completion")</f>
        <v/>
      </c>
      <c r="C90" s="348"/>
      <c r="D90" s="348"/>
      <c r="E90" s="348"/>
      <c r="F90" s="348"/>
      <c r="G90" s="348"/>
      <c r="H90" s="348"/>
      <c r="I90" s="348"/>
      <c r="J90" s="348"/>
      <c r="K90" s="36"/>
      <c r="L90" s="100"/>
      <c r="P90" s="3"/>
      <c r="Q90" s="3"/>
      <c r="R90" s="3"/>
      <c r="S90" s="3"/>
      <c r="T90" s="3"/>
      <c r="U90" s="3"/>
      <c r="V90" s="3"/>
      <c r="W90" s="3"/>
      <c r="X90" s="3"/>
      <c r="Y90" s="3"/>
      <c r="Z90" s="3"/>
      <c r="AA90" s="3"/>
      <c r="AB90" s="3"/>
      <c r="AC90" s="3"/>
      <c r="AD90" s="3"/>
      <c r="AE90" s="3"/>
      <c r="AF90" s="3"/>
      <c r="AG90" s="3"/>
      <c r="AH90" s="3"/>
    </row>
    <row r="91" spans="1:34" ht="15.5" thickBot="1">
      <c r="A91" s="346" t="str">
        <f ca="1">OFFSET(L!$C$1,MATCH("General"&amp;"Cpy",L!$A:$A,0)-1,SL,,)</f>
        <v>© 2024 Responsible Minerals Initiative. All rights reserved.</v>
      </c>
      <c r="B91" s="347"/>
      <c r="C91" s="347"/>
      <c r="D91" s="347"/>
      <c r="E91" s="347"/>
      <c r="F91" s="347"/>
      <c r="G91" s="347"/>
      <c r="H91" s="347"/>
      <c r="I91" s="347"/>
      <c r="J91" s="34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Yes</v>
      </c>
      <c r="E96" s="281" t="str">
        <f>IF(AND(OR($D$26="Yes",$D$26=""),OR($D$32="Yes",$D$32="")),"100%","")</f>
        <v>100%</v>
      </c>
      <c r="G96" s="281" t="str">
        <f>IF(OR($D$26="Yes",$D$26=""),"Yes","")</f>
        <v>Yes</v>
      </c>
    </row>
    <row r="97" spans="2:7" ht="13.5" hidden="1" customHeight="1">
      <c r="B97" s="56" t="s">
        <v>485</v>
      </c>
      <c r="D97" s="281" t="str">
        <f>IF(AND(OR($D$26="Yes",$D$26=""),OR($D$32="Yes",$D$32="")),"No","")</f>
        <v>No</v>
      </c>
      <c r="E97" s="281" t="str">
        <f>IF(AND(OR($D$26="Yes",$D$26=""),OR($D$32="Yes",$D$32="")),"Greater than 90%","")</f>
        <v>Greater than 90%</v>
      </c>
      <c r="G97" s="281" t="str">
        <f>IF(OR($D$26="Yes",$D$26=""),"No","")</f>
        <v>No</v>
      </c>
    </row>
    <row r="98" spans="2:7" ht="15" hidden="1">
      <c r="B98" s="56" t="s">
        <v>486</v>
      </c>
      <c r="D98" s="281" t="str">
        <f>IF(AND(OR($D$26="Yes",$D$26=""),OR($D$32="Yes",$D$32="")),"Unknown","")</f>
        <v>Unknown</v>
      </c>
      <c r="E98" s="281" t="str">
        <f>IF(AND(OR($D$26="Yes",$D$26=""),OR($D$32="Yes",$D$32="")),"Greater than 75%","")</f>
        <v>Greater than 75%</v>
      </c>
      <c r="G98" s="281" t="str">
        <f>IF(OR($D$27="Yes",$D$27=""),"Yes","")</f>
        <v>Yes</v>
      </c>
    </row>
    <row r="99" spans="2:7" ht="15" hidden="1">
      <c r="B99" s="188">
        <v>1</v>
      </c>
      <c r="D99" s="281" t="str">
        <f>IF(AND(OR($D$27="Yes",$D$27=""),OR($D$33="Yes",$D$33="")),"Yes","")</f>
        <v>Yes</v>
      </c>
      <c r="E99" s="281" t="str">
        <f>IF(AND(OR($D$26="Yes",$D$26=""),OR($D$32="Yes",$D$32="")),"Greater than 50%","")</f>
        <v>Greater than 50%</v>
      </c>
      <c r="G99" s="281" t="str">
        <f>IF(OR($D$27="Yes",$D$27=""),"No","")</f>
        <v>No</v>
      </c>
    </row>
    <row r="100" spans="2:7" ht="15" hidden="1">
      <c r="B100" s="236" t="s">
        <v>2463</v>
      </c>
      <c r="D100" s="281" t="str">
        <f>IF(AND(OR($D$27="Yes",$D$27=""),OR($D$33="Yes",$D$33="")),"No","")</f>
        <v>No</v>
      </c>
      <c r="E100" s="281" t="str">
        <f>IF(AND(OR($D$26="Yes",$D$26=""),OR($D$32="Yes",$D$32="")),"50% or less","")</f>
        <v>50% or less</v>
      </c>
      <c r="G100" s="281" t="str">
        <f>IF(OR($D$28="Yes",$D$28=""),"Yes","")</f>
        <v>Yes</v>
      </c>
    </row>
    <row r="101" spans="2:7" ht="15" hidden="1">
      <c r="B101" s="236" t="s">
        <v>2464</v>
      </c>
      <c r="D101" s="281" t="str">
        <f>IF(AND(OR($D$27="Yes",$D$27=""),OR($D$33="Yes",$D$33="")),"Unknown","")</f>
        <v>Unknown</v>
      </c>
      <c r="E101" s="281" t="str">
        <f>IF(AND(OR($D$26="Yes",$D$26=""),OR($D$32="Yes",$D$32="")),"None","")</f>
        <v>None</v>
      </c>
      <c r="G101" s="281" t="str">
        <f>IF(OR($D$28="Yes",$D$28=""),"No","")</f>
        <v>No</v>
      </c>
    </row>
    <row r="102" spans="2:7" ht="15" hidden="1">
      <c r="B102" s="236" t="s">
        <v>2465</v>
      </c>
      <c r="D102" s="281" t="str">
        <f>IF(AND(OR($D$28="Yes",$D$28=""),OR($D$34="Yes",$D$34="")),"Yes","")</f>
        <v>Yes</v>
      </c>
      <c r="E102" s="281" t="str">
        <f>IF(AND(OR($D$27="Yes",$D$27=""),OR($D$33="Yes",$D$33="")),"100%","")</f>
        <v>100%</v>
      </c>
      <c r="G102" s="281" t="str">
        <f>IF(OR($D$29="Yes",$D$29=""),"Yes","")</f>
        <v>Yes</v>
      </c>
    </row>
    <row r="103" spans="2:7" ht="15" hidden="1">
      <c r="B103" s="236" t="s">
        <v>2466</v>
      </c>
      <c r="D103" s="281" t="str">
        <f>IF(AND(OR($D$28="Yes",$D$28=""),OR($D$34="Yes",$D$34="")),"No","")</f>
        <v>No</v>
      </c>
      <c r="E103" s="281" t="str">
        <f>IF(AND(OR($D$27="Yes",$D$27=""),OR($D$33="Yes",$D$33="")),"Greater than 90%","")</f>
        <v>Greater than 90%</v>
      </c>
      <c r="G103" s="281" t="str">
        <f>IF(OR($D$29="Yes",$D$29=""),"No","")</f>
        <v>No</v>
      </c>
    </row>
    <row r="104" spans="2:7" ht="15" hidden="1">
      <c r="B104" s="236" t="s">
        <v>487</v>
      </c>
      <c r="D104" s="281" t="str">
        <f>IF(AND(OR($D$28="Yes",$D$28=""),OR($D$34="Yes",$D$34="")),"Unknown","")</f>
        <v>Unknown</v>
      </c>
      <c r="E104" s="281" t="str">
        <f>IF(AND(OR($D$27="Yes",$D$27=""),OR($D$33="Yes",$D$33="")),"Greater than 75%","")</f>
        <v>Greater than 75%</v>
      </c>
    </row>
    <row r="105" spans="2:7" ht="15" hidden="1">
      <c r="B105" s="236" t="s">
        <v>14954</v>
      </c>
      <c r="D105" s="281" t="str">
        <f>IF(AND(OR($D$29="Yes",$D$29=""),OR($D$35="Yes",$D$35="")),"Yes","")</f>
        <v>Yes</v>
      </c>
      <c r="E105" s="281" t="str">
        <f>IF(AND(OR($D$27="Yes",$D$27=""),OR($D$33="Yes",$D$33="")),"Greater than 50%","")</f>
        <v>Greater than 50%</v>
      </c>
    </row>
    <row r="106" spans="2:7" ht="15" hidden="1">
      <c r="B106" s="236" t="s">
        <v>12372</v>
      </c>
      <c r="D106" s="281" t="str">
        <f>IF(AND(OR($D$29="Yes",$D$29=""),OR($D$35="Yes",$D$35="")),"No","")</f>
        <v>No</v>
      </c>
      <c r="E106" s="281" t="str">
        <f>IF(AND(OR($D$27="Yes",$D$27=""),OR($D$33="Yes",$D$33="")),"50% or less","")</f>
        <v>50% or less</v>
      </c>
    </row>
    <row r="107" spans="2:7" ht="15" hidden="1">
      <c r="B107" s="236" t="s">
        <v>485</v>
      </c>
      <c r="D107" s="281" t="str">
        <f>IF(AND(OR($D$29="Yes",$D$29=""),OR($D$35="Yes",$D$35="")),"Unknown","")</f>
        <v>Unknown</v>
      </c>
      <c r="E107" s="281" t="str">
        <f>IF(AND(OR($D$27="Yes",$D$27=""),OR($D$33="Yes",$D$33="")),"None","")</f>
        <v>None</v>
      </c>
    </row>
    <row r="108" spans="2:7" ht="15" hidden="1">
      <c r="B108" s="236" t="s">
        <v>13946</v>
      </c>
      <c r="E108" s="281" t="str">
        <f>IF(AND(OR($D$28="Yes",$D$28=""),OR($D$34="Yes",$D$34="")),"100%","")</f>
        <v>100%</v>
      </c>
    </row>
    <row r="109" spans="2:7" ht="15" hidden="1">
      <c r="B109" s="236" t="s">
        <v>13948</v>
      </c>
      <c r="E109" s="281" t="str">
        <f>IF(AND(OR($D$28="Yes",$D$28=""),OR($D$34="Yes",$D$34="")),"Greater than 90%","")</f>
        <v>Greater than 90%</v>
      </c>
    </row>
    <row r="110" spans="2:7" ht="15" hidden="1">
      <c r="B110" s="236" t="s">
        <v>13949</v>
      </c>
      <c r="E110" s="281" t="str">
        <f>IF(AND(OR($D$28="Yes",$D$28=""),OR($D$34="Yes",$D$34="")),"Greater than 75%","")</f>
        <v>Greater than 75%</v>
      </c>
    </row>
    <row r="111" spans="2:7" ht="1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sheet="1" formatCells="0" formatColumns="0" formatRows="0" insertColumns="0" insertRows="0" insertHyperlinks="0" deleteColumns="0" deleteRows="0" sort="0" autoFilter="0" pivotTables="0"/>
  <customSheetViews>
    <customSheetView guid="{81CF54B1-70AB-4A68-BB72-21925B5D4874}" scale="80" outlineSymbols="0" zeroValues="0" fitToPage="1" hiddenColumns="1">
      <selection activeCell="D8" sqref="D8:J8"/>
    </customSheetView>
    <customSheetView guid="{51531B83-BDD7-4890-A744-04812A317369}" scale="70" outlineSymbols="0" zeroValues="0" fitToPage="1" hiddenRows="1" hiddenColumns="1" topLeftCell="A64">
      <selection activeCell="G71" sqref="G71:J71"/>
      <rowBreaks count="1" manualBreakCount="1">
        <brk id="60" max="11" man="1"/>
      </rowBreaks>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83" type="noConversion"/>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50:E50 D44:E44 D38:E38"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G77" r:id="rId1" xr:uid="{0563179D-BE0E-4CCF-9121-F34392A56F19}"/>
  </hyperlinks>
  <pageMargins left="0.70866141732283505" right="0.70866141732283505" top="0.74803149606299202" bottom="0.74803149606299202" header="0.31496062992126" footer="0.31496062992126"/>
  <pageSetup scale="41" fitToHeight="0" orientation="portrait" r:id="rId2"/>
  <rowBreaks count="1" manualBreakCount="1">
    <brk id="66" max="11"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7" zoomScaleNormal="100" zoomScalePageLayoutView="55" workbookViewId="0">
      <selection activeCell="A5" sqref="A5"/>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97" t="str">
        <f ca="1">OFFSET(L!$C$1,MATCH("Smelter List"&amp;ADDRESS(ROW(),COLUMN(),4),L!$A:$A,0)-1,SL,,)</f>
        <v>Link to "RMAP Conformant Smelter List"</v>
      </c>
      <c r="K2" s="398"/>
      <c r="L2" s="398"/>
      <c r="M2" s="398"/>
      <c r="N2" s="398"/>
      <c r="O2" s="398"/>
      <c r="P2" s="195"/>
      <c r="Q2" s="196"/>
      <c r="R2" s="197"/>
      <c r="S2" s="197"/>
      <c r="T2" s="197"/>
      <c r="AH2" s="145" t="s">
        <v>484</v>
      </c>
    </row>
    <row r="3" spans="1:34" s="221" customFormat="1" ht="173.4" customHeight="1">
      <c r="A3" s="171"/>
      <c r="B3" s="39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9"/>
      <c r="D3" s="399"/>
      <c r="E3" s="399"/>
      <c r="F3" s="222"/>
      <c r="G3" s="400" t="str">
        <f ca="1">OFFSET(L!$C$1,MATCH("General"&amp;"Cpy",L!$A:$A,0)-1,SL,,)</f>
        <v>© 2024 Responsible Minerals Initiative. All rights reserved.</v>
      </c>
      <c r="H3" s="400"/>
      <c r="I3" s="40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 customHeight="1">
      <c r="A5" s="292" t="s">
        <v>15855</v>
      </c>
      <c r="B5" s="293" t="s">
        <v>1119</v>
      </c>
      <c r="C5" s="294" t="s">
        <v>15856</v>
      </c>
      <c r="D5" s="295" t="s">
        <v>15855</v>
      </c>
      <c r="E5" s="293" t="s">
        <v>15855</v>
      </c>
      <c r="F5" s="293" t="s">
        <v>15855</v>
      </c>
      <c r="G5" s="293" t="s">
        <v>15855</v>
      </c>
      <c r="H5" s="296" t="s">
        <v>15855</v>
      </c>
      <c r="I5" s="297" t="s">
        <v>15855</v>
      </c>
      <c r="J5" s="297" t="s">
        <v>15855</v>
      </c>
      <c r="K5" s="298" t="s">
        <v>15855</v>
      </c>
      <c r="L5" s="298" t="s">
        <v>15855</v>
      </c>
      <c r="M5" s="298" t="s">
        <v>15855</v>
      </c>
      <c r="N5" s="298" t="s">
        <v>15855</v>
      </c>
      <c r="O5" s="298" t="s">
        <v>15855</v>
      </c>
      <c r="P5" s="299" t="s">
        <v>15857</v>
      </c>
      <c r="Q5" s="300" t="s">
        <v>15855</v>
      </c>
      <c r="R5" s="182" t="str">
        <f ca="1">IF(ISERROR($V5),"",OFFSET('Smelter Look-up'!$C$4,$V5-4,0)&amp;"")</f>
        <v/>
      </c>
      <c r="S5" s="181" t="str">
        <f ca="1">IF(B5="","",IF(ISERROR(MATCH($E5,CL,0)),"Unknown",INDIRECT("'C'!$A$"&amp;MATCH($E5,CL,0)+1)))</f>
        <v>Unknown</v>
      </c>
      <c r="T5" s="181" t="str">
        <f ca="1">IF(B5="","",IF(ISERROR(MATCH($J5,SorP!$B$1:$B$6226,0)),"",INDIRECT("'SorP'!$A$"&amp;MATCH($S5&amp;$J5,SorP!C:C,0))))</f>
        <v/>
      </c>
      <c r="U5" s="201"/>
      <c r="V5" s="226" t="e">
        <f>IF(C5="",NA(),IF(OR(C5="Smelter not listed",C5="Smelter not yet identified"),MATCH($B5&amp;$D5,'Smelter Look-up'!$J:$J,0),MATCH($B5&amp;$C5,'Smelter Look-up'!$J:$J,0)))</f>
        <v>#N/A</v>
      </c>
      <c r="X5" s="227">
        <f t="shared" ref="X5" si="0">IF(AND(C5="Smelter not listed",OR(LEN(D5)=0,LEN(E5)=0)),1,0)</f>
        <v>0</v>
      </c>
      <c r="AB5" s="228" t="str">
        <f t="shared" ref="AB5" si="1">B5&amp;C5</f>
        <v>GoldSmelter Not Yet Identified</v>
      </c>
    </row>
    <row r="6" spans="1:34" s="227" customFormat="1" ht="20" customHeight="1">
      <c r="A6" s="292" t="s">
        <v>13759</v>
      </c>
      <c r="B6" s="293" t="s">
        <v>1119</v>
      </c>
      <c r="C6" s="294" t="s">
        <v>13758</v>
      </c>
      <c r="D6" s="295" t="s">
        <v>13758</v>
      </c>
      <c r="E6" s="293" t="s">
        <v>1097</v>
      </c>
      <c r="F6" s="293" t="s">
        <v>13759</v>
      </c>
      <c r="G6" s="293" t="s">
        <v>13217</v>
      </c>
      <c r="H6" s="296" t="s">
        <v>15855</v>
      </c>
      <c r="I6" s="297" t="s">
        <v>13798</v>
      </c>
      <c r="J6" s="297" t="s">
        <v>6401</v>
      </c>
      <c r="K6" s="298" t="s">
        <v>15855</v>
      </c>
      <c r="L6" s="298" t="s">
        <v>15855</v>
      </c>
      <c r="M6" s="298" t="s">
        <v>15855</v>
      </c>
      <c r="N6" s="298" t="s">
        <v>15855</v>
      </c>
      <c r="O6" s="298" t="s">
        <v>15855</v>
      </c>
      <c r="P6" s="299" t="s">
        <v>15857</v>
      </c>
      <c r="Q6" s="300" t="s">
        <v>15855</v>
      </c>
      <c r="R6" s="182" t="str">
        <f ca="1">IF(ISERROR($V6),"",OFFSET('Smelter Look-up'!$C$4,$V6-4,0)&amp;"")</f>
        <v>8853 S.p.A.</v>
      </c>
      <c r="S6" s="181" t="str">
        <f t="shared" ref="S6:S37" ca="1" si="2">IF(B6="","",IF(ISERROR(MATCH($E6,CL,0)),"Unknown",INDIRECT("'C'!$A$"&amp;MATCH($E6,CL,0)+1)))</f>
        <v>IT</v>
      </c>
      <c r="T6" s="181" t="str">
        <f ca="1">IF(B6="","",IF(ISERROR(MATCH($J6,SorP!$B$1:$B$6226,0)),"",INDIRECT("'SorP'!$A$"&amp;MATCH($S6&amp;$J6,SorP!C:C,0))))</f>
        <v>IT-25</v>
      </c>
      <c r="U6" s="201"/>
      <c r="V6" s="226">
        <f>IF(C6="",NA(),IF(OR(C6="Smelter not listed",C6="Smelter not yet identified"),MATCH($B6&amp;$D6,'Smelter Look-up'!$J:$J,0),MATCH($B6&amp;$C6,'Smelter Look-up'!$J:$J,0)))</f>
        <v>5</v>
      </c>
      <c r="X6" s="227">
        <f t="shared" ref="X6:X37" si="3">IF(AND(C6="Smelter not listed",OR(LEN(D6)=0,LEN(E6)=0)),1,0)</f>
        <v>0</v>
      </c>
      <c r="AB6" s="228" t="str">
        <f t="shared" ref="AB6:AB37" si="4">B6&amp;C6</f>
        <v>Gold8853 S.p.A.</v>
      </c>
    </row>
    <row r="7" spans="1:34" s="227" customFormat="1" ht="20" customHeight="1">
      <c r="A7" s="292" t="s">
        <v>13759</v>
      </c>
      <c r="B7" s="293" t="s">
        <v>1119</v>
      </c>
      <c r="C7" s="294" t="s">
        <v>13758</v>
      </c>
      <c r="D7" s="295" t="s">
        <v>13758</v>
      </c>
      <c r="E7" s="293" t="s">
        <v>1097</v>
      </c>
      <c r="F7" s="293" t="s">
        <v>13759</v>
      </c>
      <c r="G7" s="293" t="s">
        <v>13217</v>
      </c>
      <c r="H7" s="296" t="s">
        <v>15855</v>
      </c>
      <c r="I7" s="297" t="s">
        <v>13798</v>
      </c>
      <c r="J7" s="297" t="s">
        <v>6401</v>
      </c>
      <c r="K7" s="298" t="s">
        <v>15855</v>
      </c>
      <c r="L7" s="298" t="s">
        <v>15855</v>
      </c>
      <c r="M7" s="298" t="s">
        <v>15855</v>
      </c>
      <c r="N7" s="298" t="s">
        <v>15855</v>
      </c>
      <c r="O7" s="298" t="s">
        <v>15858</v>
      </c>
      <c r="P7" s="299" t="s">
        <v>15857</v>
      </c>
      <c r="Q7" s="300" t="s">
        <v>15855</v>
      </c>
      <c r="R7" s="182" t="str">
        <f ca="1">IF(ISERROR($V7),"",OFFSET('Smelter Look-up'!$C$4,$V7-4,0)&amp;"")</f>
        <v>8853 S.p.A.</v>
      </c>
      <c r="S7" s="181" t="str">
        <f t="shared" ca="1" si="2"/>
        <v>IT</v>
      </c>
      <c r="T7" s="181" t="str">
        <f ca="1">IF(B7="","",IF(ISERROR(MATCH($J7,SorP!$B$1:$B$6226,0)),"",INDIRECT("'SorP'!$A$"&amp;MATCH($S7&amp;$J7,SorP!C:C,0))))</f>
        <v>IT-25</v>
      </c>
      <c r="U7" s="201"/>
      <c r="V7" s="226">
        <f>IF(C7="",NA(),IF(OR(C7="Smelter not listed",C7="Smelter not yet identified"),MATCH($B7&amp;$D7,'Smelter Look-up'!$J:$J,0),MATCH($B7&amp;$C7,'Smelter Look-up'!$J:$J,0)))</f>
        <v>5</v>
      </c>
      <c r="X7" s="227">
        <f t="shared" si="3"/>
        <v>0</v>
      </c>
      <c r="AB7" s="228" t="str">
        <f t="shared" si="4"/>
        <v>Gold8853 S.p.A.</v>
      </c>
    </row>
    <row r="8" spans="1:34" s="227" customFormat="1" ht="20" customHeight="1">
      <c r="A8" s="292" t="s">
        <v>13759</v>
      </c>
      <c r="B8" s="293" t="s">
        <v>1119</v>
      </c>
      <c r="C8" s="294" t="s">
        <v>13758</v>
      </c>
      <c r="D8" s="295" t="s">
        <v>13758</v>
      </c>
      <c r="E8" s="293" t="s">
        <v>1097</v>
      </c>
      <c r="F8" s="293" t="s">
        <v>13759</v>
      </c>
      <c r="G8" s="293" t="s">
        <v>13217</v>
      </c>
      <c r="H8" s="296" t="s">
        <v>15855</v>
      </c>
      <c r="I8" s="297" t="s">
        <v>13798</v>
      </c>
      <c r="J8" s="297" t="s">
        <v>6401</v>
      </c>
      <c r="K8" s="298" t="s">
        <v>15859</v>
      </c>
      <c r="L8" s="298" t="s">
        <v>15860</v>
      </c>
      <c r="M8" s="298" t="s">
        <v>15861</v>
      </c>
      <c r="N8" s="298" t="s">
        <v>15862</v>
      </c>
      <c r="O8" s="298" t="s">
        <v>15863</v>
      </c>
      <c r="P8" s="299" t="s">
        <v>15857</v>
      </c>
      <c r="Q8" s="300" t="s">
        <v>15855</v>
      </c>
      <c r="R8" s="182" t="str">
        <f ca="1">IF(ISERROR($V8),"",OFFSET('Smelter Look-up'!$C$4,$V8-4,0)&amp;"")</f>
        <v>8853 S.p.A.</v>
      </c>
      <c r="S8" s="181" t="str">
        <f t="shared" ca="1" si="2"/>
        <v>IT</v>
      </c>
      <c r="T8" s="181" t="str">
        <f ca="1">IF(B8="","",IF(ISERROR(MATCH($J8,SorP!$B$1:$B$6226,0)),"",INDIRECT("'SorP'!$A$"&amp;MATCH($S8&amp;$J8,SorP!C:C,0))))</f>
        <v>IT-25</v>
      </c>
      <c r="U8" s="201"/>
      <c r="V8" s="226">
        <f>IF(C8="",NA(),IF(OR(C8="Smelter not listed",C8="Smelter not yet identified"),MATCH($B8&amp;$D8,'Smelter Look-up'!$J:$J,0),MATCH($B8&amp;$C8,'Smelter Look-up'!$J:$J,0)))</f>
        <v>5</v>
      </c>
      <c r="X8" s="227">
        <f t="shared" si="3"/>
        <v>0</v>
      </c>
      <c r="AB8" s="228" t="str">
        <f t="shared" si="4"/>
        <v>Gold8853 S.p.A.</v>
      </c>
    </row>
    <row r="9" spans="1:34" s="227" customFormat="1" ht="20" customHeight="1">
      <c r="A9" s="292" t="s">
        <v>15404</v>
      </c>
      <c r="B9" s="293" t="s">
        <v>1119</v>
      </c>
      <c r="C9" s="294" t="s">
        <v>15403</v>
      </c>
      <c r="D9" s="295" t="s">
        <v>15403</v>
      </c>
      <c r="E9" s="293" t="s">
        <v>1083</v>
      </c>
      <c r="F9" s="293" t="s">
        <v>15404</v>
      </c>
      <c r="G9" s="293" t="s">
        <v>13217</v>
      </c>
      <c r="H9" s="296" t="s">
        <v>15855</v>
      </c>
      <c r="I9" s="297" t="s">
        <v>15405</v>
      </c>
      <c r="J9" s="297" t="s">
        <v>2801</v>
      </c>
      <c r="K9" s="298" t="s">
        <v>15855</v>
      </c>
      <c r="L9" s="298" t="s">
        <v>15855</v>
      </c>
      <c r="M9" s="298" t="s">
        <v>15855</v>
      </c>
      <c r="N9" s="298" t="s">
        <v>15855</v>
      </c>
      <c r="O9" s="298" t="s">
        <v>15858</v>
      </c>
      <c r="P9" s="299" t="s">
        <v>15857</v>
      </c>
      <c r="Q9" s="300" t="s">
        <v>15855</v>
      </c>
      <c r="R9" s="182" t="str">
        <f ca="1">IF(ISERROR($V9),"",OFFSET('Smelter Look-up'!$C$4,$V9-4,0)&amp;"")</f>
        <v>ABC Refinery Pty Ltd.</v>
      </c>
      <c r="S9" s="181" t="str">
        <f t="shared" ca="1" si="2"/>
        <v>AU</v>
      </c>
      <c r="T9" s="181" t="str">
        <f ca="1">IF(B9="","",IF(ISERROR(MATCH($J9,SorP!$B$1:$B$6226,0)),"",INDIRECT("'SorP'!$A$"&amp;MATCH($S9&amp;$J9,SorP!C:C,0))))</f>
        <v>AU-NSW</v>
      </c>
      <c r="U9" s="201"/>
      <c r="V9" s="226">
        <f>IF(C9="",NA(),IF(OR(C9="Smelter not listed",C9="Smelter not yet identified"),MATCH($B9&amp;$D9,'Smelter Look-up'!$J:$J,0),MATCH($B9&amp;$C9,'Smelter Look-up'!$J:$J,0)))</f>
        <v>6</v>
      </c>
      <c r="X9" s="227">
        <f t="shared" si="3"/>
        <v>0</v>
      </c>
      <c r="AB9" s="228" t="str">
        <f t="shared" si="4"/>
        <v>GoldABC Refinery Pty Ltd.</v>
      </c>
    </row>
    <row r="10" spans="1:34" s="227" customFormat="1" ht="20" customHeight="1">
      <c r="A10" s="292" t="s">
        <v>2417</v>
      </c>
      <c r="B10" s="293" t="s">
        <v>1119</v>
      </c>
      <c r="C10" s="294" t="s">
        <v>2416</v>
      </c>
      <c r="D10" s="295" t="s">
        <v>2416</v>
      </c>
      <c r="E10" s="293" t="s">
        <v>2415</v>
      </c>
      <c r="F10" s="293" t="s">
        <v>2417</v>
      </c>
      <c r="G10" s="293" t="s">
        <v>15864</v>
      </c>
      <c r="H10" s="296" t="s">
        <v>15855</v>
      </c>
      <c r="I10" s="297" t="s">
        <v>2418</v>
      </c>
      <c r="J10" s="297" t="s">
        <v>1725</v>
      </c>
      <c r="K10" s="298" t="s">
        <v>15855</v>
      </c>
      <c r="L10" s="298" t="s">
        <v>15855</v>
      </c>
      <c r="M10" s="298" t="s">
        <v>15855</v>
      </c>
      <c r="N10" s="298" t="s">
        <v>15855</v>
      </c>
      <c r="O10" s="298" t="s">
        <v>15855</v>
      </c>
      <c r="P10" s="299" t="s">
        <v>15857</v>
      </c>
      <c r="Q10" s="300" t="s">
        <v>15855</v>
      </c>
      <c r="R10" s="182" t="str">
        <f ca="1">IF(ISERROR($V10),"",OFFSET('Smelter Look-up'!$C$4,$V10-4,0)&amp;"")</f>
        <v>Abington Reldan Metals, LLC</v>
      </c>
      <c r="S10" s="181" t="str">
        <f t="shared" ca="1" si="2"/>
        <v>US</v>
      </c>
      <c r="T10" s="181" t="str">
        <f ca="1">IF(B10="","",IF(ISERROR(MATCH($J10,SorP!$B$1:$B$6226,0)),"",INDIRECT("'SorP'!$A$"&amp;MATCH($S10&amp;$J10,SorP!C:C,0))))</f>
        <v>US-PA</v>
      </c>
      <c r="U10" s="201"/>
      <c r="V10" s="226">
        <f>IF(C10="",NA(),IF(OR(C10="Smelter not listed",C10="Smelter not yet identified"),MATCH($B10&amp;$D10,'Smelter Look-up'!$J:$J,0),MATCH($B10&amp;$C10,'Smelter Look-up'!$J:$J,0)))</f>
        <v>7</v>
      </c>
      <c r="X10" s="227">
        <f t="shared" si="3"/>
        <v>0</v>
      </c>
      <c r="AB10" s="228" t="str">
        <f t="shared" si="4"/>
        <v>GoldAbington Reldan Metals, LLC</v>
      </c>
    </row>
    <row r="11" spans="1:34" s="227" customFormat="1" ht="20" customHeight="1">
      <c r="A11" s="292" t="s">
        <v>2417</v>
      </c>
      <c r="B11" s="293" t="s">
        <v>1119</v>
      </c>
      <c r="C11" s="294" t="s">
        <v>2416</v>
      </c>
      <c r="D11" s="295" t="s">
        <v>2416</v>
      </c>
      <c r="E11" s="293" t="s">
        <v>2415</v>
      </c>
      <c r="F11" s="293" t="s">
        <v>2417</v>
      </c>
      <c r="G11" s="293" t="s">
        <v>13217</v>
      </c>
      <c r="H11" s="296" t="s">
        <v>15855</v>
      </c>
      <c r="I11" s="297" t="s">
        <v>2418</v>
      </c>
      <c r="J11" s="297" t="s">
        <v>1725</v>
      </c>
      <c r="K11" s="298" t="s">
        <v>15855</v>
      </c>
      <c r="L11" s="298" t="s">
        <v>15855</v>
      </c>
      <c r="M11" s="298" t="s">
        <v>15855</v>
      </c>
      <c r="N11" s="298" t="s">
        <v>15855</v>
      </c>
      <c r="O11" s="298" t="s">
        <v>15855</v>
      </c>
      <c r="P11" s="299" t="s">
        <v>15857</v>
      </c>
      <c r="Q11" s="300" t="s">
        <v>15855</v>
      </c>
      <c r="R11" s="182" t="str">
        <f ca="1">IF(ISERROR($V11),"",OFFSET('Smelter Look-up'!$C$4,$V11-4,0)&amp;"")</f>
        <v>Abington Reldan Metals, LLC</v>
      </c>
      <c r="S11" s="181" t="str">
        <f t="shared" ca="1" si="2"/>
        <v>US</v>
      </c>
      <c r="T11" s="181" t="str">
        <f ca="1">IF(B11="","",IF(ISERROR(MATCH($J11,SorP!$B$1:$B$6226,0)),"",INDIRECT("'SorP'!$A$"&amp;MATCH($S11&amp;$J11,SorP!C:C,0))))</f>
        <v>US-PA</v>
      </c>
      <c r="U11" s="201"/>
      <c r="V11" s="226">
        <f>IF(C11="",NA(),IF(OR(C11="Smelter not listed",C11="Smelter not yet identified"),MATCH($B11&amp;$D11,'Smelter Look-up'!$J:$J,0),MATCH($B11&amp;$C11,'Smelter Look-up'!$J:$J,0)))</f>
        <v>7</v>
      </c>
      <c r="X11" s="227">
        <f t="shared" si="3"/>
        <v>0</v>
      </c>
      <c r="AB11" s="228" t="str">
        <f t="shared" si="4"/>
        <v>GoldAbington Reldan Metals, LLC</v>
      </c>
    </row>
    <row r="12" spans="1:34" s="227" customFormat="1" ht="20" customHeight="1">
      <c r="A12" s="292" t="s">
        <v>2417</v>
      </c>
      <c r="B12" s="293" t="s">
        <v>1119</v>
      </c>
      <c r="C12" s="294" t="s">
        <v>2416</v>
      </c>
      <c r="D12" s="295" t="s">
        <v>2416</v>
      </c>
      <c r="E12" s="293" t="s">
        <v>2415</v>
      </c>
      <c r="F12" s="293" t="s">
        <v>2417</v>
      </c>
      <c r="G12" s="293" t="s">
        <v>13217</v>
      </c>
      <c r="H12" s="296" t="s">
        <v>15855</v>
      </c>
      <c r="I12" s="297" t="s">
        <v>2418</v>
      </c>
      <c r="J12" s="297" t="s">
        <v>1725</v>
      </c>
      <c r="K12" s="298" t="s">
        <v>15855</v>
      </c>
      <c r="L12" s="298" t="s">
        <v>15855</v>
      </c>
      <c r="M12" s="298" t="s">
        <v>15855</v>
      </c>
      <c r="N12" s="298" t="s">
        <v>15855</v>
      </c>
      <c r="O12" s="298" t="s">
        <v>15858</v>
      </c>
      <c r="P12" s="299" t="s">
        <v>15857</v>
      </c>
      <c r="Q12" s="300" t="s">
        <v>15855</v>
      </c>
      <c r="R12" s="182" t="str">
        <f ca="1">IF(ISERROR($V12),"",OFFSET('Smelter Look-up'!$C$4,$V12-4,0)&amp;"")</f>
        <v>Abington Reldan Metals, LLC</v>
      </c>
      <c r="S12" s="181" t="str">
        <f t="shared" ca="1" si="2"/>
        <v>US</v>
      </c>
      <c r="T12" s="181" t="str">
        <f ca="1">IF(B12="","",IF(ISERROR(MATCH($J12,SorP!$B$1:$B$6226,0)),"",INDIRECT("'SorP'!$A$"&amp;MATCH($S12&amp;$J12,SorP!C:C,0))))</f>
        <v>US-PA</v>
      </c>
      <c r="U12" s="201"/>
      <c r="V12" s="226">
        <f>IF(C12="",NA(),IF(OR(C12="Smelter not listed",C12="Smelter not yet identified"),MATCH($B12&amp;$D12,'Smelter Look-up'!$J:$J,0),MATCH($B12&amp;$C12,'Smelter Look-up'!$J:$J,0)))</f>
        <v>7</v>
      </c>
      <c r="X12" s="227">
        <f t="shared" si="3"/>
        <v>0</v>
      </c>
      <c r="AB12" s="228" t="str">
        <f t="shared" si="4"/>
        <v>GoldAbington Reldan Metals, LLC</v>
      </c>
    </row>
    <row r="13" spans="1:34" s="227" customFormat="1" ht="20" customHeight="1">
      <c r="A13" s="292" t="s">
        <v>1373</v>
      </c>
      <c r="B13" s="293" t="s">
        <v>1119</v>
      </c>
      <c r="C13" s="294" t="s">
        <v>1372</v>
      </c>
      <c r="D13" s="295" t="s">
        <v>1372</v>
      </c>
      <c r="E13" s="293" t="s">
        <v>2415</v>
      </c>
      <c r="F13" s="293" t="s">
        <v>1373</v>
      </c>
      <c r="G13" s="293" t="s">
        <v>15865</v>
      </c>
      <c r="H13" s="296" t="s">
        <v>15855</v>
      </c>
      <c r="I13" s="297" t="s">
        <v>1531</v>
      </c>
      <c r="J13" s="297" t="s">
        <v>1532</v>
      </c>
      <c r="K13" s="298" t="s">
        <v>15855</v>
      </c>
      <c r="L13" s="298" t="s">
        <v>15855</v>
      </c>
      <c r="M13" s="298" t="s">
        <v>15855</v>
      </c>
      <c r="N13" s="298" t="s">
        <v>15855</v>
      </c>
      <c r="O13" s="298" t="s">
        <v>15855</v>
      </c>
      <c r="P13" s="299" t="s">
        <v>15857</v>
      </c>
      <c r="Q13" s="300" t="s">
        <v>15855</v>
      </c>
      <c r="R13" s="182" t="str">
        <f ca="1">IF(ISERROR($V13),"",OFFSET('Smelter Look-up'!$C$4,$V13-4,0)&amp;"")</f>
        <v>Advanced Chemical Company</v>
      </c>
      <c r="S13" s="181" t="str">
        <f t="shared" ca="1" si="2"/>
        <v>US</v>
      </c>
      <c r="T13" s="181" t="str">
        <f ca="1">IF(B13="","",IF(ISERROR(MATCH($J13,SorP!$B$1:$B$6226,0)),"",INDIRECT("'SorP'!$A$"&amp;MATCH($S13&amp;$J13,SorP!C:C,0))))</f>
        <v>US-RI</v>
      </c>
      <c r="U13" s="201"/>
      <c r="V13" s="226">
        <f>IF(C13="",NA(),IF(OR(C13="Smelter not listed",C13="Smelter not yet identified"),MATCH($B13&amp;$D13,'Smelter Look-up'!$J:$J,0),MATCH($B13&amp;$C13,'Smelter Look-up'!$J:$J,0)))</f>
        <v>8</v>
      </c>
      <c r="X13" s="227">
        <f t="shared" si="3"/>
        <v>0</v>
      </c>
      <c r="AB13" s="228" t="str">
        <f t="shared" si="4"/>
        <v>GoldAdvanced Chemical Company</v>
      </c>
    </row>
    <row r="14" spans="1:34" s="227" customFormat="1" ht="20" customHeight="1">
      <c r="A14" s="292" t="s">
        <v>1373</v>
      </c>
      <c r="B14" s="293" t="s">
        <v>1119</v>
      </c>
      <c r="C14" s="294" t="s">
        <v>1372</v>
      </c>
      <c r="D14" s="295" t="s">
        <v>1372</v>
      </c>
      <c r="E14" s="293" t="s">
        <v>2415</v>
      </c>
      <c r="F14" s="293" t="s">
        <v>1373</v>
      </c>
      <c r="G14" s="293" t="s">
        <v>13217</v>
      </c>
      <c r="H14" s="296" t="s">
        <v>15855</v>
      </c>
      <c r="I14" s="297" t="s">
        <v>1531</v>
      </c>
      <c r="J14" s="297" t="s">
        <v>1532</v>
      </c>
      <c r="K14" s="298" t="s">
        <v>15855</v>
      </c>
      <c r="L14" s="298" t="s">
        <v>15855</v>
      </c>
      <c r="M14" s="298" t="s">
        <v>15855</v>
      </c>
      <c r="N14" s="298" t="s">
        <v>15855</v>
      </c>
      <c r="O14" s="298" t="s">
        <v>15855</v>
      </c>
      <c r="P14" s="299" t="s">
        <v>15857</v>
      </c>
      <c r="Q14" s="300" t="s">
        <v>15855</v>
      </c>
      <c r="R14" s="182" t="str">
        <f ca="1">IF(ISERROR($V14),"",OFFSET('Smelter Look-up'!$C$4,$V14-4,0)&amp;"")</f>
        <v>Advanced Chemical Company</v>
      </c>
      <c r="S14" s="181" t="str">
        <f t="shared" ca="1" si="2"/>
        <v>US</v>
      </c>
      <c r="T14" s="181" t="str">
        <f ca="1">IF(B14="","",IF(ISERROR(MATCH($J14,SorP!$B$1:$B$6226,0)),"",INDIRECT("'SorP'!$A$"&amp;MATCH($S14&amp;$J14,SorP!C:C,0))))</f>
        <v>US-RI</v>
      </c>
      <c r="U14" s="201"/>
      <c r="V14" s="226">
        <f>IF(C14="",NA(),IF(OR(C14="Smelter not listed",C14="Smelter not yet identified"),MATCH($B14&amp;$D14,'Smelter Look-up'!$J:$J,0),MATCH($B14&amp;$C14,'Smelter Look-up'!$J:$J,0)))</f>
        <v>8</v>
      </c>
      <c r="X14" s="227">
        <f t="shared" si="3"/>
        <v>0</v>
      </c>
      <c r="AB14" s="228" t="str">
        <f t="shared" si="4"/>
        <v>GoldAdvanced Chemical Company</v>
      </c>
    </row>
    <row r="15" spans="1:34" s="227" customFormat="1" ht="20" customHeight="1">
      <c r="A15" s="292" t="s">
        <v>1373</v>
      </c>
      <c r="B15" s="293" t="s">
        <v>1119</v>
      </c>
      <c r="C15" s="294" t="s">
        <v>1372</v>
      </c>
      <c r="D15" s="295" t="s">
        <v>1372</v>
      </c>
      <c r="E15" s="293" t="s">
        <v>2415</v>
      </c>
      <c r="F15" s="293" t="s">
        <v>1373</v>
      </c>
      <c r="G15" s="293" t="s">
        <v>13217</v>
      </c>
      <c r="H15" s="296" t="s">
        <v>15855</v>
      </c>
      <c r="I15" s="297" t="s">
        <v>1531</v>
      </c>
      <c r="J15" s="297" t="s">
        <v>1532</v>
      </c>
      <c r="K15" s="298" t="s">
        <v>15855</v>
      </c>
      <c r="L15" s="298" t="s">
        <v>15855</v>
      </c>
      <c r="M15" s="298" t="s">
        <v>15855</v>
      </c>
      <c r="N15" s="298" t="s">
        <v>15855</v>
      </c>
      <c r="O15" s="298" t="s">
        <v>15866</v>
      </c>
      <c r="P15" s="299" t="s">
        <v>15857</v>
      </c>
      <c r="Q15" s="300" t="s">
        <v>15855</v>
      </c>
      <c r="R15" s="182" t="str">
        <f ca="1">IF(ISERROR($V15),"",OFFSET('Smelter Look-up'!$C$4,$V15-4,0)&amp;"")</f>
        <v>Advanced Chemical Company</v>
      </c>
      <c r="S15" s="181" t="str">
        <f t="shared" ca="1" si="2"/>
        <v>US</v>
      </c>
      <c r="T15" s="181" t="str">
        <f ca="1">IF(B15="","",IF(ISERROR(MATCH($J15,SorP!$B$1:$B$6226,0)),"",INDIRECT("'SorP'!$A$"&amp;MATCH($S15&amp;$J15,SorP!C:C,0))))</f>
        <v>US-RI</v>
      </c>
      <c r="U15" s="201"/>
      <c r="V15" s="226">
        <f>IF(C15="",NA(),IF(OR(C15="Smelter not listed",C15="Smelter not yet identified"),MATCH($B15&amp;$D15,'Smelter Look-up'!$J:$J,0),MATCH($B15&amp;$C15,'Smelter Look-up'!$J:$J,0)))</f>
        <v>8</v>
      </c>
      <c r="X15" s="227">
        <f t="shared" si="3"/>
        <v>0</v>
      </c>
      <c r="AB15" s="228" t="str">
        <f t="shared" si="4"/>
        <v>GoldAdvanced Chemical Company</v>
      </c>
    </row>
    <row r="16" spans="1:34" s="227" customFormat="1" ht="20" customHeight="1">
      <c r="A16" s="292" t="s">
        <v>1373</v>
      </c>
      <c r="B16" s="293" t="s">
        <v>1119</v>
      </c>
      <c r="C16" s="294" t="s">
        <v>1372</v>
      </c>
      <c r="D16" s="295" t="s">
        <v>1372</v>
      </c>
      <c r="E16" s="293" t="s">
        <v>2415</v>
      </c>
      <c r="F16" s="293" t="s">
        <v>1373</v>
      </c>
      <c r="G16" s="293" t="s">
        <v>13217</v>
      </c>
      <c r="H16" s="296" t="s">
        <v>15855</v>
      </c>
      <c r="I16" s="297" t="s">
        <v>1531</v>
      </c>
      <c r="J16" s="297" t="s">
        <v>1532</v>
      </c>
      <c r="K16" s="298" t="s">
        <v>15867</v>
      </c>
      <c r="L16" s="298" t="s">
        <v>15868</v>
      </c>
      <c r="M16" s="298" t="s">
        <v>15869</v>
      </c>
      <c r="N16" s="298" t="s">
        <v>15870</v>
      </c>
      <c r="O16" s="298" t="s">
        <v>15871</v>
      </c>
      <c r="P16" s="299" t="s">
        <v>15857</v>
      </c>
      <c r="Q16" s="300" t="s">
        <v>15855</v>
      </c>
      <c r="R16" s="182" t="str">
        <f ca="1">IF(ISERROR($V16),"",OFFSET('Smelter Look-up'!$C$4,$V16-4,0)&amp;"")</f>
        <v>Advanced Chemical Company</v>
      </c>
      <c r="S16" s="181" t="str">
        <f t="shared" ca="1" si="2"/>
        <v>US</v>
      </c>
      <c r="T16" s="181" t="str">
        <f ca="1">IF(B16="","",IF(ISERROR(MATCH($J16,SorP!$B$1:$B$6226,0)),"",INDIRECT("'SorP'!$A$"&amp;MATCH($S16&amp;$J16,SorP!C:C,0))))</f>
        <v>US-RI</v>
      </c>
      <c r="U16" s="201"/>
      <c r="V16" s="226">
        <f>IF(C16="",NA(),IF(OR(C16="Smelter not listed",C16="Smelter not yet identified"),MATCH($B16&amp;$D16,'Smelter Look-up'!$J:$J,0),MATCH($B16&amp;$C16,'Smelter Look-up'!$J:$J,0)))</f>
        <v>8</v>
      </c>
      <c r="X16" s="227">
        <f t="shared" si="3"/>
        <v>0</v>
      </c>
      <c r="AB16" s="228" t="str">
        <f t="shared" si="4"/>
        <v>GoldAdvanced Chemical Company</v>
      </c>
    </row>
    <row r="17" spans="1:28" s="227" customFormat="1" ht="20" customHeight="1">
      <c r="A17" s="292" t="s">
        <v>12896</v>
      </c>
      <c r="B17" s="293" t="s">
        <v>1119</v>
      </c>
      <c r="C17" s="294" t="s">
        <v>12895</v>
      </c>
      <c r="D17" s="295" t="s">
        <v>12895</v>
      </c>
      <c r="E17" s="293" t="s">
        <v>880</v>
      </c>
      <c r="F17" s="293" t="s">
        <v>12896</v>
      </c>
      <c r="G17" s="293" t="s">
        <v>13217</v>
      </c>
      <c r="H17" s="296" t="s">
        <v>15855</v>
      </c>
      <c r="I17" s="297" t="s">
        <v>12920</v>
      </c>
      <c r="J17" s="297" t="s">
        <v>11644</v>
      </c>
      <c r="K17" s="298" t="s">
        <v>15855</v>
      </c>
      <c r="L17" s="298" t="s">
        <v>15855</v>
      </c>
      <c r="M17" s="298" t="s">
        <v>15855</v>
      </c>
      <c r="N17" s="298" t="s">
        <v>15855</v>
      </c>
      <c r="O17" s="298" t="s">
        <v>15858</v>
      </c>
      <c r="P17" s="299" t="s">
        <v>15857</v>
      </c>
      <c r="Q17" s="300" t="s">
        <v>15855</v>
      </c>
      <c r="R17" s="182" t="str">
        <f ca="1">IF(ISERROR($V17),"",OFFSET('Smelter Look-up'!$C$4,$V17-4,0)&amp;"")</f>
        <v>African Gold Refinery</v>
      </c>
      <c r="S17" s="181" t="str">
        <f t="shared" ca="1" si="2"/>
        <v>UG</v>
      </c>
      <c r="T17" s="181" t="str">
        <f ca="1">IF(B17="","",IF(ISERROR(MATCH($J17,SorP!$B$1:$B$6226,0)),"",INDIRECT("'SorP'!$A$"&amp;MATCH($S17&amp;$J17,SorP!C:C,0))))</f>
        <v>UG-113</v>
      </c>
      <c r="U17" s="201"/>
      <c r="V17" s="226">
        <f>IF(C17="",NA(),IF(OR(C17="Smelter not listed",C17="Smelter not yet identified"),MATCH($B17&amp;$D17,'Smelter Look-up'!$J:$J,0),MATCH($B17&amp;$C17,'Smelter Look-up'!$J:$J,0)))</f>
        <v>9</v>
      </c>
      <c r="X17" s="227">
        <f t="shared" si="3"/>
        <v>0</v>
      </c>
      <c r="AB17" s="228" t="str">
        <f t="shared" si="4"/>
        <v>GoldAfrican Gold Refinery</v>
      </c>
    </row>
    <row r="18" spans="1:28" s="227" customFormat="1" ht="20" customHeight="1">
      <c r="A18" s="301" t="s">
        <v>647</v>
      </c>
      <c r="B18" s="293" t="s">
        <v>1119</v>
      </c>
      <c r="C18" s="294" t="s">
        <v>15406</v>
      </c>
      <c r="D18" s="295" t="s">
        <v>15406</v>
      </c>
      <c r="E18" s="293" t="s">
        <v>1091</v>
      </c>
      <c r="F18" s="293" t="s">
        <v>647</v>
      </c>
      <c r="G18" s="293" t="s">
        <v>13217</v>
      </c>
      <c r="H18" s="296" t="s">
        <v>15855</v>
      </c>
      <c r="I18" s="297" t="s">
        <v>1535</v>
      </c>
      <c r="J18" s="297" t="s">
        <v>1536</v>
      </c>
      <c r="K18" s="298" t="s">
        <v>15855</v>
      </c>
      <c r="L18" s="298" t="s">
        <v>15855</v>
      </c>
      <c r="M18" s="298" t="s">
        <v>15855</v>
      </c>
      <c r="N18" s="298" t="s">
        <v>15855</v>
      </c>
      <c r="O18" s="298" t="s">
        <v>15855</v>
      </c>
      <c r="P18" s="299" t="s">
        <v>15857</v>
      </c>
      <c r="Q18" s="300" t="s">
        <v>15855</v>
      </c>
      <c r="R18" s="182" t="str">
        <f ca="1">IF(ISERROR($V18),"",OFFSET('Smelter Look-up'!$C$4,$V18-4,0)&amp;"")</f>
        <v>Agosi AG</v>
      </c>
      <c r="S18" s="181" t="str">
        <f t="shared" ca="1" si="2"/>
        <v>DE</v>
      </c>
      <c r="T18" s="181" t="str">
        <f ca="1">IF(B18="","",IF(ISERROR(MATCH($J18,SorP!$B$1:$B$6226,0)),"",INDIRECT("'SorP'!$A$"&amp;MATCH($S18&amp;$J18,SorP!C:C,0))))</f>
        <v>DE-BW</v>
      </c>
      <c r="U18" s="201"/>
      <c r="V18" s="226">
        <f>IF(C18="",NA(),IF(OR(C18="Smelter not listed",C18="Smelter not yet identified"),MATCH($B18&amp;$D18,'Smelter Look-up'!$J:$J,0),MATCH($B18&amp;$C18,'Smelter Look-up'!$J:$J,0)))</f>
        <v>10</v>
      </c>
      <c r="X18" s="227">
        <f t="shared" si="3"/>
        <v>0</v>
      </c>
      <c r="AB18" s="228" t="str">
        <f t="shared" si="4"/>
        <v>GoldAgosi AG</v>
      </c>
    </row>
    <row r="19" spans="1:28" s="227" customFormat="1" ht="27">
      <c r="A19" s="301" t="s">
        <v>647</v>
      </c>
      <c r="B19" s="293" t="s">
        <v>1119</v>
      </c>
      <c r="C19" s="294" t="s">
        <v>15406</v>
      </c>
      <c r="D19" s="295" t="s">
        <v>15406</v>
      </c>
      <c r="E19" s="293" t="s">
        <v>1091</v>
      </c>
      <c r="F19" s="293" t="s">
        <v>647</v>
      </c>
      <c r="G19" s="293" t="s">
        <v>13217</v>
      </c>
      <c r="H19" s="296" t="s">
        <v>15855</v>
      </c>
      <c r="I19" s="297" t="s">
        <v>1535</v>
      </c>
      <c r="J19" s="297" t="s">
        <v>1536</v>
      </c>
      <c r="K19" s="298" t="s">
        <v>15872</v>
      </c>
      <c r="L19" s="298" t="s">
        <v>15873</v>
      </c>
      <c r="M19" s="298" t="s">
        <v>15874</v>
      </c>
      <c r="N19" s="298" t="s">
        <v>15862</v>
      </c>
      <c r="O19" s="298" t="s">
        <v>15863</v>
      </c>
      <c r="P19" s="299" t="s">
        <v>15857</v>
      </c>
      <c r="Q19" s="300" t="s">
        <v>15855</v>
      </c>
      <c r="R19" s="182" t="str">
        <f ca="1">IF(ISERROR($V19),"",OFFSET('Smelter Look-up'!$C$4,$V19-4,0)&amp;"")</f>
        <v>Agosi AG</v>
      </c>
      <c r="S19" s="181" t="str">
        <f t="shared" ca="1" si="2"/>
        <v>DE</v>
      </c>
      <c r="T19" s="181" t="str">
        <f ca="1">IF(B19="","",IF(ISERROR(MATCH($J19,SorP!$B$1:$B$6226,0)),"",INDIRECT("'SorP'!$A$"&amp;MATCH($S19&amp;$J19,SorP!C:C,0))))</f>
        <v>DE-BW</v>
      </c>
      <c r="U19" s="201"/>
      <c r="V19" s="226">
        <f>IF(C19="",NA(),IF(OR(C19="Smelter not listed",C19="Smelter not yet identified"),MATCH($B19&amp;$D19,'Smelter Look-up'!$J:$J,0),MATCH($B19&amp;$C19,'Smelter Look-up'!$J:$J,0)))</f>
        <v>10</v>
      </c>
      <c r="X19" s="227">
        <f t="shared" si="3"/>
        <v>0</v>
      </c>
      <c r="AB19" s="228" t="str">
        <f t="shared" si="4"/>
        <v>GoldAgosi AG</v>
      </c>
    </row>
    <row r="20" spans="1:28" s="227" customFormat="1" ht="67.5">
      <c r="A20" s="301" t="s">
        <v>646</v>
      </c>
      <c r="B20" s="293" t="s">
        <v>1119</v>
      </c>
      <c r="C20" s="294" t="s">
        <v>2124</v>
      </c>
      <c r="D20" s="295" t="s">
        <v>2124</v>
      </c>
      <c r="E20" s="293" t="s">
        <v>1098</v>
      </c>
      <c r="F20" s="293" t="s">
        <v>646</v>
      </c>
      <c r="G20" s="293" t="s">
        <v>13217</v>
      </c>
      <c r="H20" s="296" t="s">
        <v>15855</v>
      </c>
      <c r="I20" s="297" t="s">
        <v>1533</v>
      </c>
      <c r="J20" s="297" t="s">
        <v>1534</v>
      </c>
      <c r="K20" s="298" t="s">
        <v>15855</v>
      </c>
      <c r="L20" s="298" t="s">
        <v>15855</v>
      </c>
      <c r="M20" s="298" t="s">
        <v>15855</v>
      </c>
      <c r="N20" s="298" t="s">
        <v>15855</v>
      </c>
      <c r="O20" s="298" t="s">
        <v>15855</v>
      </c>
      <c r="P20" s="299" t="s">
        <v>15857</v>
      </c>
      <c r="Q20" s="300" t="s">
        <v>15855</v>
      </c>
      <c r="R20" s="182" t="str">
        <f ca="1">IF(ISERROR($V20),"",OFFSET('Smelter Look-up'!$C$4,$V20-4,0)&amp;"")</f>
        <v>Aida Chemical Industries Co., Ltd.</v>
      </c>
      <c r="S20" s="181" t="str">
        <f t="shared" ca="1" si="2"/>
        <v>JP</v>
      </c>
      <c r="T20" s="181" t="str">
        <f ca="1">IF(B20="","",IF(ISERROR(MATCH($J20,SorP!$B$1:$B$6226,0)),"",INDIRECT("'SorP'!$A$"&amp;MATCH($S20&amp;$J20,SorP!C:C,0))))</f>
        <v>JP-13</v>
      </c>
      <c r="U20" s="201"/>
      <c r="V20" s="226">
        <f>IF(C20="",NA(),IF(OR(C20="Smelter not listed",C20="Smelter not yet identified"),MATCH($B20&amp;$D20,'Smelter Look-up'!$J:$J,0),MATCH($B20&amp;$C20,'Smelter Look-up'!$J:$J,0)))</f>
        <v>13</v>
      </c>
      <c r="X20" s="227">
        <f t="shared" si="3"/>
        <v>0</v>
      </c>
      <c r="AB20" s="228" t="str">
        <f t="shared" si="4"/>
        <v>GoldAida Chemical Industries Co., Ltd.</v>
      </c>
    </row>
    <row r="21" spans="1:28" s="227" customFormat="1" ht="67.5">
      <c r="A21" s="301" t="s">
        <v>646</v>
      </c>
      <c r="B21" s="293" t="s">
        <v>1119</v>
      </c>
      <c r="C21" s="294" t="s">
        <v>2124</v>
      </c>
      <c r="D21" s="295" t="s">
        <v>2124</v>
      </c>
      <c r="E21" s="293" t="s">
        <v>1098</v>
      </c>
      <c r="F21" s="293" t="s">
        <v>646</v>
      </c>
      <c r="G21" s="293" t="s">
        <v>13217</v>
      </c>
      <c r="H21" s="296" t="s">
        <v>15855</v>
      </c>
      <c r="I21" s="297" t="s">
        <v>1533</v>
      </c>
      <c r="J21" s="297" t="s">
        <v>1534</v>
      </c>
      <c r="K21" s="298" t="s">
        <v>15855</v>
      </c>
      <c r="L21" s="298" t="s">
        <v>15855</v>
      </c>
      <c r="M21" s="298" t="s">
        <v>15855</v>
      </c>
      <c r="N21" s="298" t="s">
        <v>15855</v>
      </c>
      <c r="O21" s="298" t="s">
        <v>15855</v>
      </c>
      <c r="P21" s="299" t="s">
        <v>15875</v>
      </c>
      <c r="Q21" s="300" t="s">
        <v>15855</v>
      </c>
      <c r="R21" s="182" t="str">
        <f ca="1">IF(ISERROR($V21),"",OFFSET('Smelter Look-up'!$C$4,$V21-4,0)&amp;"")</f>
        <v>Aida Chemical Industries Co., Ltd.</v>
      </c>
      <c r="S21" s="181" t="str">
        <f t="shared" ca="1" si="2"/>
        <v>JP</v>
      </c>
      <c r="T21" s="181" t="str">
        <f ca="1">IF(B21="","",IF(ISERROR(MATCH($J21,SorP!$B$1:$B$6226,0)),"",INDIRECT("'SorP'!$A$"&amp;MATCH($S21&amp;$J21,SorP!C:C,0))))</f>
        <v>JP-13</v>
      </c>
      <c r="U21" s="201"/>
      <c r="V21" s="226">
        <f>IF(C21="",NA(),IF(OR(C21="Smelter not listed",C21="Smelter not yet identified"),MATCH($B21&amp;$D21,'Smelter Look-up'!$J:$J,0),MATCH($B21&amp;$C21,'Smelter Look-up'!$J:$J,0)))</f>
        <v>13</v>
      </c>
      <c r="X21" s="227">
        <f t="shared" si="3"/>
        <v>0</v>
      </c>
      <c r="AB21" s="228" t="str">
        <f t="shared" si="4"/>
        <v>GoldAida Chemical Industries Co., Ltd.</v>
      </c>
    </row>
    <row r="22" spans="1:28" s="227" customFormat="1" ht="67.5">
      <c r="A22" s="301" t="s">
        <v>646</v>
      </c>
      <c r="B22" s="293" t="s">
        <v>1119</v>
      </c>
      <c r="C22" s="294" t="s">
        <v>2124</v>
      </c>
      <c r="D22" s="295" t="s">
        <v>2124</v>
      </c>
      <c r="E22" s="293" t="s">
        <v>1098</v>
      </c>
      <c r="F22" s="293" t="s">
        <v>646</v>
      </c>
      <c r="G22" s="293" t="s">
        <v>13217</v>
      </c>
      <c r="H22" s="296" t="s">
        <v>15855</v>
      </c>
      <c r="I22" s="297" t="s">
        <v>1533</v>
      </c>
      <c r="J22" s="297" t="s">
        <v>1534</v>
      </c>
      <c r="K22" s="298" t="s">
        <v>15855</v>
      </c>
      <c r="L22" s="298" t="s">
        <v>15855</v>
      </c>
      <c r="M22" s="298" t="s">
        <v>15855</v>
      </c>
      <c r="N22" s="298" t="s">
        <v>15855</v>
      </c>
      <c r="O22" s="298" t="s">
        <v>15876</v>
      </c>
      <c r="P22" s="299" t="s">
        <v>15857</v>
      </c>
      <c r="Q22" s="300" t="s">
        <v>15855</v>
      </c>
      <c r="R22" s="182" t="str">
        <f ca="1">IF(ISERROR($V22),"",OFFSET('Smelter Look-up'!$C$4,$V22-4,0)&amp;"")</f>
        <v>Aida Chemical Industries Co., Ltd.</v>
      </c>
      <c r="S22" s="181" t="str">
        <f t="shared" ca="1" si="2"/>
        <v>JP</v>
      </c>
      <c r="T22" s="181" t="str">
        <f ca="1">IF(B22="","",IF(ISERROR(MATCH($J22,SorP!$B$1:$B$6226,0)),"",INDIRECT("'SorP'!$A$"&amp;MATCH($S22&amp;$J22,SorP!C:C,0))))</f>
        <v>JP-13</v>
      </c>
      <c r="U22" s="201"/>
      <c r="V22" s="226">
        <f>IF(C22="",NA(),IF(OR(C22="Smelter not listed",C22="Smelter not yet identified"),MATCH($B22&amp;$D22,'Smelter Look-up'!$J:$J,0),MATCH($B22&amp;$C22,'Smelter Look-up'!$J:$J,0)))</f>
        <v>13</v>
      </c>
      <c r="X22" s="227">
        <f t="shared" si="3"/>
        <v>0</v>
      </c>
      <c r="AB22" s="228" t="str">
        <f t="shared" si="4"/>
        <v>GoldAida Chemical Industries Co., Ltd.</v>
      </c>
    </row>
    <row r="23" spans="1:28" s="227" customFormat="1" ht="67.5">
      <c r="A23" s="301" t="s">
        <v>646</v>
      </c>
      <c r="B23" s="293" t="s">
        <v>1119</v>
      </c>
      <c r="C23" s="294" t="s">
        <v>2124</v>
      </c>
      <c r="D23" s="295" t="s">
        <v>2124</v>
      </c>
      <c r="E23" s="293" t="s">
        <v>1098</v>
      </c>
      <c r="F23" s="293" t="s">
        <v>646</v>
      </c>
      <c r="G23" s="293" t="s">
        <v>13217</v>
      </c>
      <c r="H23" s="296" t="s">
        <v>15855</v>
      </c>
      <c r="I23" s="297" t="s">
        <v>1533</v>
      </c>
      <c r="J23" s="297" t="s">
        <v>1534</v>
      </c>
      <c r="K23" s="298" t="s">
        <v>15877</v>
      </c>
      <c r="L23" s="298" t="s">
        <v>15878</v>
      </c>
      <c r="M23" s="298" t="s">
        <v>15869</v>
      </c>
      <c r="N23" s="298" t="s">
        <v>15876</v>
      </c>
      <c r="O23" s="298" t="s">
        <v>15879</v>
      </c>
      <c r="P23" s="299" t="s">
        <v>15875</v>
      </c>
      <c r="Q23" s="300" t="s">
        <v>15855</v>
      </c>
      <c r="R23" s="182" t="str">
        <f ca="1">IF(ISERROR($V23),"",OFFSET('Smelter Look-up'!$C$4,$V23-4,0)&amp;"")</f>
        <v>Aida Chemical Industries Co., Ltd.</v>
      </c>
      <c r="S23" s="181" t="str">
        <f t="shared" ca="1" si="2"/>
        <v>JP</v>
      </c>
      <c r="T23" s="181" t="str">
        <f ca="1">IF(B23="","",IF(ISERROR(MATCH($J23,SorP!$B$1:$B$6226,0)),"",INDIRECT("'SorP'!$A$"&amp;MATCH($S23&amp;$J23,SorP!C:C,0))))</f>
        <v>JP-13</v>
      </c>
      <c r="U23" s="201"/>
      <c r="V23" s="226">
        <f>IF(C23="",NA(),IF(OR(C23="Smelter not listed",C23="Smelter not yet identified"),MATCH($B23&amp;$D23,'Smelter Look-up'!$J:$J,0),MATCH($B23&amp;$C23,'Smelter Look-up'!$J:$J,0)))</f>
        <v>13</v>
      </c>
      <c r="X23" s="227">
        <f t="shared" si="3"/>
        <v>0</v>
      </c>
      <c r="AB23" s="228" t="str">
        <f t="shared" si="4"/>
        <v>GoldAida Chemical Industries Co., Ltd.</v>
      </c>
    </row>
    <row r="24" spans="1:28" s="227" customFormat="1" ht="67.5">
      <c r="A24" s="301" t="s">
        <v>646</v>
      </c>
      <c r="B24" s="293" t="s">
        <v>1119</v>
      </c>
      <c r="C24" s="294" t="s">
        <v>2124</v>
      </c>
      <c r="D24" s="295" t="s">
        <v>2124</v>
      </c>
      <c r="E24" s="293" t="s">
        <v>1098</v>
      </c>
      <c r="F24" s="293" t="s">
        <v>646</v>
      </c>
      <c r="G24" s="293" t="s">
        <v>13217</v>
      </c>
      <c r="H24" s="302" t="s">
        <v>15880</v>
      </c>
      <c r="I24" s="297" t="s">
        <v>1533</v>
      </c>
      <c r="J24" s="297" t="s">
        <v>1534</v>
      </c>
      <c r="K24" s="298" t="s">
        <v>15855</v>
      </c>
      <c r="L24" s="298" t="s">
        <v>15855</v>
      </c>
      <c r="M24" s="298" t="s">
        <v>15855</v>
      </c>
      <c r="N24" s="298" t="s">
        <v>15855</v>
      </c>
      <c r="O24" s="298" t="s">
        <v>15855</v>
      </c>
      <c r="P24" s="299" t="s">
        <v>15857</v>
      </c>
      <c r="Q24" s="300" t="s">
        <v>15855</v>
      </c>
      <c r="R24" s="182" t="str">
        <f ca="1">IF(ISERROR($V24),"",OFFSET('Smelter Look-up'!$C$4,$V24-4,0)&amp;"")</f>
        <v>Aida Chemical Industries Co., Ltd.</v>
      </c>
      <c r="S24" s="181" t="str">
        <f t="shared" ca="1" si="2"/>
        <v>JP</v>
      </c>
      <c r="T24" s="181" t="str">
        <f ca="1">IF(B24="","",IF(ISERROR(MATCH($J24,SorP!$B$1:$B$6226,0)),"",INDIRECT("'SorP'!$A$"&amp;MATCH($S24&amp;$J24,SorP!C:C,0))))</f>
        <v>JP-13</v>
      </c>
      <c r="U24" s="201"/>
      <c r="V24" s="226">
        <f>IF(C24="",NA(),IF(OR(C24="Smelter not listed",C24="Smelter not yet identified"),MATCH($B24&amp;$D24,'Smelter Look-up'!$J:$J,0),MATCH($B24&amp;$C24,'Smelter Look-up'!$J:$J,0)))</f>
        <v>13</v>
      </c>
      <c r="X24" s="227">
        <f t="shared" si="3"/>
        <v>0</v>
      </c>
      <c r="AB24" s="228" t="str">
        <f t="shared" si="4"/>
        <v>GoldAida Chemical Industries Co., Ltd.</v>
      </c>
    </row>
    <row r="25" spans="1:28" s="227" customFormat="1" ht="67.5">
      <c r="A25" s="301" t="s">
        <v>646</v>
      </c>
      <c r="B25" s="293" t="s">
        <v>1119</v>
      </c>
      <c r="C25" s="294" t="s">
        <v>2124</v>
      </c>
      <c r="D25" s="295" t="s">
        <v>2124</v>
      </c>
      <c r="E25" s="293" t="s">
        <v>1098</v>
      </c>
      <c r="F25" s="293" t="s">
        <v>646</v>
      </c>
      <c r="G25" s="293" t="s">
        <v>13217</v>
      </c>
      <c r="H25" s="302" t="s">
        <v>15880</v>
      </c>
      <c r="I25" s="297" t="s">
        <v>1533</v>
      </c>
      <c r="J25" s="297" t="s">
        <v>1534</v>
      </c>
      <c r="K25" s="298" t="s">
        <v>15881</v>
      </c>
      <c r="L25" s="298" t="s">
        <v>15881</v>
      </c>
      <c r="M25" s="298" t="s">
        <v>12593</v>
      </c>
      <c r="N25" s="298" t="s">
        <v>15881</v>
      </c>
      <c r="O25" s="298" t="s">
        <v>15881</v>
      </c>
      <c r="P25" s="299" t="s">
        <v>15857</v>
      </c>
      <c r="Q25" s="300" t="s">
        <v>15855</v>
      </c>
      <c r="R25" s="182" t="str">
        <f ca="1">IF(ISERROR($V25),"",OFFSET('Smelter Look-up'!$C$4,$V25-4,0)&amp;"")</f>
        <v>Aida Chemical Industries Co., Ltd.</v>
      </c>
      <c r="S25" s="181" t="str">
        <f t="shared" ca="1" si="2"/>
        <v>JP</v>
      </c>
      <c r="T25" s="181" t="str">
        <f ca="1">IF(B25="","",IF(ISERROR(MATCH($J25,SorP!$B$1:$B$6226,0)),"",INDIRECT("'SorP'!$A$"&amp;MATCH($S25&amp;$J25,SorP!C:C,0))))</f>
        <v>JP-13</v>
      </c>
      <c r="U25" s="201"/>
      <c r="V25" s="226">
        <f>IF(C25="",NA(),IF(OR(C25="Smelter not listed",C25="Smelter not yet identified"),MATCH($B25&amp;$D25,'Smelter Look-up'!$J:$J,0),MATCH($B25&amp;$C25,'Smelter Look-up'!$J:$J,0)))</f>
        <v>13</v>
      </c>
      <c r="X25" s="227">
        <f t="shared" si="3"/>
        <v>0</v>
      </c>
      <c r="AB25" s="228" t="str">
        <f t="shared" si="4"/>
        <v>GoldAida Chemical Industries Co., Ltd.</v>
      </c>
    </row>
    <row r="26" spans="1:28" s="227" customFormat="1" ht="67.5">
      <c r="A26" s="301" t="s">
        <v>646</v>
      </c>
      <c r="B26" s="293" t="s">
        <v>1119</v>
      </c>
      <c r="C26" s="294" t="s">
        <v>2124</v>
      </c>
      <c r="D26" s="295" t="s">
        <v>2124</v>
      </c>
      <c r="E26" s="293" t="s">
        <v>1098</v>
      </c>
      <c r="F26" s="293" t="s">
        <v>646</v>
      </c>
      <c r="G26" s="293" t="s">
        <v>13217</v>
      </c>
      <c r="H26" s="296" t="s">
        <v>15882</v>
      </c>
      <c r="I26" s="297" t="s">
        <v>1533</v>
      </c>
      <c r="J26" s="297" t="s">
        <v>1534</v>
      </c>
      <c r="K26" s="298" t="s">
        <v>15883</v>
      </c>
      <c r="L26" s="298" t="s">
        <v>15884</v>
      </c>
      <c r="M26" s="298" t="s">
        <v>15855</v>
      </c>
      <c r="N26" s="298" t="s">
        <v>15885</v>
      </c>
      <c r="O26" s="298" t="s">
        <v>15885</v>
      </c>
      <c r="P26" s="299" t="s">
        <v>15857</v>
      </c>
      <c r="Q26" s="300" t="s">
        <v>15886</v>
      </c>
      <c r="R26" s="182" t="str">
        <f ca="1">IF(ISERROR($V26),"",OFFSET('Smelter Look-up'!$C$4,$V26-4,0)&amp;"")</f>
        <v>Aida Chemical Industries Co., Ltd.</v>
      </c>
      <c r="S26" s="181" t="str">
        <f t="shared" ca="1" si="2"/>
        <v>JP</v>
      </c>
      <c r="T26" s="181" t="str">
        <f ca="1">IF(B26="","",IF(ISERROR(MATCH($J26,SorP!$B$1:$B$6226,0)),"",INDIRECT("'SorP'!$A$"&amp;MATCH($S26&amp;$J26,SorP!C:C,0))))</f>
        <v>JP-13</v>
      </c>
      <c r="U26" s="201"/>
      <c r="V26" s="226">
        <f>IF(C26="",NA(),IF(OR(C26="Smelter not listed",C26="Smelter not yet identified"),MATCH($B26&amp;$D26,'Smelter Look-up'!$J:$J,0),MATCH($B26&amp;$C26,'Smelter Look-up'!$J:$J,0)))</f>
        <v>13</v>
      </c>
      <c r="X26" s="227">
        <f t="shared" si="3"/>
        <v>0</v>
      </c>
      <c r="AB26" s="228" t="str">
        <f t="shared" si="4"/>
        <v>GoldAida Chemical Industries Co., Ltd.</v>
      </c>
    </row>
    <row r="27" spans="1:28" s="227" customFormat="1" ht="67.5">
      <c r="A27" s="301" t="s">
        <v>1693</v>
      </c>
      <c r="B27" s="293" t="s">
        <v>1119</v>
      </c>
      <c r="C27" s="294" t="s">
        <v>1692</v>
      </c>
      <c r="D27" s="295" t="s">
        <v>2472</v>
      </c>
      <c r="E27" s="293" t="s">
        <v>1082</v>
      </c>
      <c r="F27" s="293" t="s">
        <v>1693</v>
      </c>
      <c r="G27" s="293" t="s">
        <v>15865</v>
      </c>
      <c r="H27" s="296" t="s">
        <v>15855</v>
      </c>
      <c r="I27" s="297" t="s">
        <v>1694</v>
      </c>
      <c r="J27" s="297" t="s">
        <v>1694</v>
      </c>
      <c r="K27" s="298" t="s">
        <v>15855</v>
      </c>
      <c r="L27" s="298" t="s">
        <v>15855</v>
      </c>
      <c r="M27" s="298" t="s">
        <v>15855</v>
      </c>
      <c r="N27" s="298" t="s">
        <v>15855</v>
      </c>
      <c r="O27" s="298" t="s">
        <v>15855</v>
      </c>
      <c r="P27" s="299" t="s">
        <v>15857</v>
      </c>
      <c r="Q27" s="300" t="s">
        <v>15855</v>
      </c>
      <c r="R27" s="182" t="str">
        <f ca="1">IF(ISERROR($V27),"",OFFSET('Smelter Look-up'!$C$4,$V27-4,0)&amp;"")</f>
        <v>Al Etihad Gold Refinery DMCC</v>
      </c>
      <c r="S27" s="181" t="str">
        <f t="shared" ca="1" si="2"/>
        <v>AE</v>
      </c>
      <c r="T27" s="181" t="str">
        <f ca="1">IF(B27="","",IF(ISERROR(MATCH($J27,SorP!$B$1:$B$6226,0)),"",INDIRECT("'SorP'!$A$"&amp;MATCH($S27&amp;$J27,SorP!C:C,0))))</f>
        <v/>
      </c>
      <c r="U27" s="201"/>
      <c r="V27" s="226">
        <f>IF(C27="",NA(),IF(OR(C27="Smelter not listed",C27="Smelter not yet identified"),MATCH($B27&amp;$D27,'Smelter Look-up'!$J:$J,0),MATCH($B27&amp;$C27,'Smelter Look-up'!$J:$J,0)))</f>
        <v>16</v>
      </c>
      <c r="X27" s="227">
        <f t="shared" si="3"/>
        <v>0</v>
      </c>
      <c r="AB27" s="228" t="str">
        <f t="shared" si="4"/>
        <v>GoldAl Etihad Gold Refinery DMCC</v>
      </c>
    </row>
    <row r="28" spans="1:28" s="227" customFormat="1" ht="67.5">
      <c r="A28" s="301" t="s">
        <v>1693</v>
      </c>
      <c r="B28" s="293" t="s">
        <v>1119</v>
      </c>
      <c r="C28" s="294" t="s">
        <v>1692</v>
      </c>
      <c r="D28" s="295" t="s">
        <v>1692</v>
      </c>
      <c r="E28" s="293" t="s">
        <v>1082</v>
      </c>
      <c r="F28" s="293" t="s">
        <v>1693</v>
      </c>
      <c r="G28" s="293" t="s">
        <v>13217</v>
      </c>
      <c r="H28" s="296" t="s">
        <v>15855</v>
      </c>
      <c r="I28" s="297" t="s">
        <v>1694</v>
      </c>
      <c r="J28" s="297" t="s">
        <v>2555</v>
      </c>
      <c r="K28" s="298" t="s">
        <v>15855</v>
      </c>
      <c r="L28" s="298" t="s">
        <v>15855</v>
      </c>
      <c r="M28" s="298" t="s">
        <v>15855</v>
      </c>
      <c r="N28" s="298" t="s">
        <v>15855</v>
      </c>
      <c r="O28" s="298" t="s">
        <v>15855</v>
      </c>
      <c r="P28" s="299" t="s">
        <v>15857</v>
      </c>
      <c r="Q28" s="300" t="s">
        <v>15855</v>
      </c>
      <c r="R28" s="182" t="str">
        <f ca="1">IF(ISERROR($V28),"",OFFSET('Smelter Look-up'!$C$4,$V28-4,0)&amp;"")</f>
        <v>Al Etihad Gold Refinery DMCC</v>
      </c>
      <c r="S28" s="181" t="str">
        <f t="shared" ca="1" si="2"/>
        <v>AE</v>
      </c>
      <c r="T28" s="181" t="str">
        <f ca="1">IF(B28="","",IF(ISERROR(MATCH($J28,SorP!$B$1:$B$6226,0)),"",INDIRECT("'SorP'!$A$"&amp;MATCH($S28&amp;$J28,SorP!C:C,0))))</f>
        <v>AE-DU</v>
      </c>
      <c r="U28" s="201"/>
      <c r="V28" s="226">
        <f>IF(C28="",NA(),IF(OR(C28="Smelter not listed",C28="Smelter not yet identified"),MATCH($B28&amp;$D28,'Smelter Look-up'!$J:$J,0),MATCH($B28&amp;$C28,'Smelter Look-up'!$J:$J,0)))</f>
        <v>16</v>
      </c>
      <c r="X28" s="227">
        <f t="shared" si="3"/>
        <v>0</v>
      </c>
      <c r="AB28" s="228" t="str">
        <f t="shared" si="4"/>
        <v>GoldAl Etihad Gold Refinery DMCC</v>
      </c>
    </row>
    <row r="29" spans="1:28" s="227" customFormat="1" ht="67.5">
      <c r="A29" s="301" t="s">
        <v>1693</v>
      </c>
      <c r="B29" s="293" t="s">
        <v>1119</v>
      </c>
      <c r="C29" s="294" t="s">
        <v>1692</v>
      </c>
      <c r="D29" s="295" t="s">
        <v>1692</v>
      </c>
      <c r="E29" s="293" t="s">
        <v>1082</v>
      </c>
      <c r="F29" s="293" t="s">
        <v>1693</v>
      </c>
      <c r="G29" s="293" t="s">
        <v>13217</v>
      </c>
      <c r="H29" s="296" t="s">
        <v>15855</v>
      </c>
      <c r="I29" s="297" t="s">
        <v>1694</v>
      </c>
      <c r="J29" s="297" t="s">
        <v>2555</v>
      </c>
      <c r="K29" s="298" t="s">
        <v>15855</v>
      </c>
      <c r="L29" s="298" t="s">
        <v>15855</v>
      </c>
      <c r="M29" s="298" t="s">
        <v>15855</v>
      </c>
      <c r="N29" s="298" t="s">
        <v>15855</v>
      </c>
      <c r="O29" s="298" t="s">
        <v>15866</v>
      </c>
      <c r="P29" s="299" t="s">
        <v>15857</v>
      </c>
      <c r="Q29" s="300" t="s">
        <v>15855</v>
      </c>
      <c r="R29" s="182" t="str">
        <f ca="1">IF(ISERROR($V29),"",OFFSET('Smelter Look-up'!$C$4,$V29-4,0)&amp;"")</f>
        <v>Al Etihad Gold Refinery DMCC</v>
      </c>
      <c r="S29" s="181" t="str">
        <f t="shared" ca="1" si="2"/>
        <v>AE</v>
      </c>
      <c r="T29" s="181" t="str">
        <f ca="1">IF(B29="","",IF(ISERROR(MATCH($J29,SorP!$B$1:$B$6226,0)),"",INDIRECT("'SorP'!$A$"&amp;MATCH($S29&amp;$J29,SorP!C:C,0))))</f>
        <v>AE-DU</v>
      </c>
      <c r="U29" s="201"/>
      <c r="V29" s="226">
        <f>IF(C29="",NA(),IF(OR(C29="Smelter not listed",C29="Smelter not yet identified"),MATCH($B29&amp;$D29,'Smelter Look-up'!$J:$J,0),MATCH($B29&amp;$C29,'Smelter Look-up'!$J:$J,0)))</f>
        <v>16</v>
      </c>
      <c r="X29" s="227">
        <f t="shared" si="3"/>
        <v>0</v>
      </c>
      <c r="AB29" s="228" t="str">
        <f t="shared" si="4"/>
        <v>GoldAl Etihad Gold Refinery DMCC</v>
      </c>
    </row>
    <row r="30" spans="1:28" s="227" customFormat="1" ht="67.5">
      <c r="A30" s="301" t="s">
        <v>1693</v>
      </c>
      <c r="B30" s="293" t="s">
        <v>1119</v>
      </c>
      <c r="C30" s="294" t="s">
        <v>1692</v>
      </c>
      <c r="D30" s="295" t="s">
        <v>1692</v>
      </c>
      <c r="E30" s="293" t="s">
        <v>1082</v>
      </c>
      <c r="F30" s="293" t="s">
        <v>1693</v>
      </c>
      <c r="G30" s="293" t="s">
        <v>13217</v>
      </c>
      <c r="H30" s="296" t="s">
        <v>15855</v>
      </c>
      <c r="I30" s="297" t="s">
        <v>1694</v>
      </c>
      <c r="J30" s="297" t="s">
        <v>2555</v>
      </c>
      <c r="K30" s="298" t="s">
        <v>15887</v>
      </c>
      <c r="L30" s="298" t="s">
        <v>15888</v>
      </c>
      <c r="M30" s="298" t="s">
        <v>15869</v>
      </c>
      <c r="N30" s="298" t="s">
        <v>15870</v>
      </c>
      <c r="O30" s="298" t="s">
        <v>15889</v>
      </c>
      <c r="P30" s="299" t="s">
        <v>15857</v>
      </c>
      <c r="Q30" s="300" t="s">
        <v>15855</v>
      </c>
      <c r="R30" s="182" t="str">
        <f ca="1">IF(ISERROR($V30),"",OFFSET('Smelter Look-up'!$C$4,$V30-4,0)&amp;"")</f>
        <v>Al Etihad Gold Refinery DMCC</v>
      </c>
      <c r="S30" s="181" t="str">
        <f t="shared" ca="1" si="2"/>
        <v>AE</v>
      </c>
      <c r="T30" s="181" t="str">
        <f ca="1">IF(B30="","",IF(ISERROR(MATCH($J30,SorP!$B$1:$B$6226,0)),"",INDIRECT("'SorP'!$A$"&amp;MATCH($S30&amp;$J30,SorP!C:C,0))))</f>
        <v>AE-DU</v>
      </c>
      <c r="U30" s="201"/>
      <c r="V30" s="226">
        <f>IF(C30="",NA(),IF(OR(C30="Smelter not listed",C30="Smelter not yet identified"),MATCH($B30&amp;$D30,'Smelter Look-up'!$J:$J,0),MATCH($B30&amp;$C30,'Smelter Look-up'!$J:$J,0)))</f>
        <v>16</v>
      </c>
      <c r="X30" s="227">
        <f t="shared" si="3"/>
        <v>0</v>
      </c>
      <c r="AB30" s="228" t="str">
        <f t="shared" si="4"/>
        <v>GoldAl Etihad Gold Refinery DMCC</v>
      </c>
    </row>
    <row r="31" spans="1:28" s="227" customFormat="1" ht="27">
      <c r="A31" s="301" t="s">
        <v>15018</v>
      </c>
      <c r="B31" s="293" t="s">
        <v>1119</v>
      </c>
      <c r="C31" s="294" t="s">
        <v>15017</v>
      </c>
      <c r="D31" s="295" t="s">
        <v>15017</v>
      </c>
      <c r="E31" s="293" t="s">
        <v>2415</v>
      </c>
      <c r="F31" s="293" t="s">
        <v>15018</v>
      </c>
      <c r="G31" s="293" t="s">
        <v>13217</v>
      </c>
      <c r="H31" s="296" t="s">
        <v>15855</v>
      </c>
      <c r="I31" s="297" t="s">
        <v>15099</v>
      </c>
      <c r="J31" s="297" t="s">
        <v>1627</v>
      </c>
      <c r="K31" s="298" t="s">
        <v>15855</v>
      </c>
      <c r="L31" s="298" t="s">
        <v>15855</v>
      </c>
      <c r="M31" s="298" t="s">
        <v>15855</v>
      </c>
      <c r="N31" s="298" t="s">
        <v>15855</v>
      </c>
      <c r="O31" s="298" t="s">
        <v>15858</v>
      </c>
      <c r="P31" s="299" t="s">
        <v>15857</v>
      </c>
      <c r="Q31" s="300" t="s">
        <v>15855</v>
      </c>
      <c r="R31" s="182" t="str">
        <f ca="1">IF(ISERROR($V31),"",OFFSET('Smelter Look-up'!$C$4,$V31-4,0)&amp;"")</f>
        <v>Alexy Metals</v>
      </c>
      <c r="S31" s="181" t="str">
        <f t="shared" ca="1" si="2"/>
        <v>US</v>
      </c>
      <c r="T31" s="181" t="str">
        <f ca="1">IF(B31="","",IF(ISERROR(MATCH($J31,SorP!$B$1:$B$6226,0)),"",INDIRECT("'SorP'!$A$"&amp;MATCH($S31&amp;$J31,SorP!C:C,0))))</f>
        <v>US-OH</v>
      </c>
      <c r="U31" s="201"/>
      <c r="V31" s="226">
        <f>IF(C31="",NA(),IF(OR(C31="Smelter not listed",C31="Smelter not yet identified"),MATCH($B31&amp;$D31,'Smelter Look-up'!$J:$J,0),MATCH($B31&amp;$C31,'Smelter Look-up'!$J:$J,0)))</f>
        <v>18</v>
      </c>
      <c r="X31" s="227">
        <f t="shared" si="3"/>
        <v>0</v>
      </c>
      <c r="AB31" s="228" t="str">
        <f t="shared" si="4"/>
        <v>GoldAlexy Metals</v>
      </c>
    </row>
    <row r="32" spans="1:28" s="227" customFormat="1" ht="27">
      <c r="A32" s="301" t="s">
        <v>647</v>
      </c>
      <c r="B32" s="293" t="s">
        <v>1119</v>
      </c>
      <c r="C32" s="294" t="s">
        <v>15406</v>
      </c>
      <c r="D32" s="295" t="s">
        <v>50</v>
      </c>
      <c r="E32" s="293" t="s">
        <v>1091</v>
      </c>
      <c r="F32" s="293" t="s">
        <v>647</v>
      </c>
      <c r="G32" s="293" t="s">
        <v>13217</v>
      </c>
      <c r="H32" s="296" t="s">
        <v>15855</v>
      </c>
      <c r="I32" s="297" t="s">
        <v>1535</v>
      </c>
      <c r="J32" s="297" t="s">
        <v>1536</v>
      </c>
      <c r="K32" s="298" t="s">
        <v>15855</v>
      </c>
      <c r="L32" s="298" t="s">
        <v>15855</v>
      </c>
      <c r="M32" s="298" t="s">
        <v>15855</v>
      </c>
      <c r="N32" s="298" t="s">
        <v>15855</v>
      </c>
      <c r="O32" s="298" t="s">
        <v>15858</v>
      </c>
      <c r="P32" s="299" t="s">
        <v>15857</v>
      </c>
      <c r="Q32" s="300" t="s">
        <v>15855</v>
      </c>
      <c r="R32" s="182" t="str">
        <f ca="1">IF(ISERROR($V32),"",OFFSET('Smelter Look-up'!$C$4,$V32-4,0)&amp;"")</f>
        <v>Agosi AG</v>
      </c>
      <c r="S32" s="181" t="str">
        <f t="shared" ca="1" si="2"/>
        <v>DE</v>
      </c>
      <c r="T32" s="181" t="str">
        <f ca="1">IF(B32="","",IF(ISERROR(MATCH($J32,SorP!$B$1:$B$6226,0)),"",INDIRECT("'SorP'!$A$"&amp;MATCH($S32&amp;$J32,SorP!C:C,0))))</f>
        <v>DE-BW</v>
      </c>
      <c r="U32" s="201"/>
      <c r="V32" s="226">
        <f>IF(C32="",NA(),IF(OR(C32="Smelter not listed",C32="Smelter not yet identified"),MATCH($B32&amp;$D32,'Smelter Look-up'!$J:$J,0),MATCH($B32&amp;$C32,'Smelter Look-up'!$J:$J,0)))</f>
        <v>10</v>
      </c>
      <c r="X32" s="227">
        <f t="shared" si="3"/>
        <v>0</v>
      </c>
      <c r="AB32" s="228" t="str">
        <f t="shared" si="4"/>
        <v>GoldAgosi AG</v>
      </c>
    </row>
    <row r="33" spans="1:28" s="227" customFormat="1" ht="81">
      <c r="A33" s="301" t="s">
        <v>647</v>
      </c>
      <c r="B33" s="293" t="s">
        <v>1119</v>
      </c>
      <c r="C33" s="294" t="s">
        <v>50</v>
      </c>
      <c r="D33" s="295" t="s">
        <v>50</v>
      </c>
      <c r="E33" s="293" t="s">
        <v>1091</v>
      </c>
      <c r="F33" s="293" t="s">
        <v>647</v>
      </c>
      <c r="G33" s="293" t="s">
        <v>13217</v>
      </c>
      <c r="H33" s="296" t="s">
        <v>15855</v>
      </c>
      <c r="I33" s="297" t="s">
        <v>1535</v>
      </c>
      <c r="J33" s="297" t="s">
        <v>1536</v>
      </c>
      <c r="K33" s="298" t="s">
        <v>15855</v>
      </c>
      <c r="L33" s="298" t="s">
        <v>15855</v>
      </c>
      <c r="M33" s="298" t="s">
        <v>15855</v>
      </c>
      <c r="N33" s="298" t="s">
        <v>15855</v>
      </c>
      <c r="O33" s="298" t="s">
        <v>15855</v>
      </c>
      <c r="P33" s="299" t="s">
        <v>15857</v>
      </c>
      <c r="Q33" s="300" t="s">
        <v>15855</v>
      </c>
      <c r="R33" s="182" t="str">
        <f ca="1">IF(ISERROR($V33),"",OFFSET('Smelter Look-up'!$C$4,$V33-4,0)&amp;"")</f>
        <v>Agosi AG</v>
      </c>
      <c r="S33" s="181" t="str">
        <f t="shared" ca="1" si="2"/>
        <v>DE</v>
      </c>
      <c r="T33" s="181" t="str">
        <f ca="1">IF(B33="","",IF(ISERROR(MATCH($J33,SorP!$B$1:$B$6226,0)),"",INDIRECT("'SorP'!$A$"&amp;MATCH($S33&amp;$J33,SorP!C:C,0))))</f>
        <v>DE-BW</v>
      </c>
      <c r="U33" s="201"/>
      <c r="V33" s="226">
        <f>IF(C33="",NA(),IF(OR(C33="Smelter not listed",C33="Smelter not yet identified"),MATCH($B33&amp;$D33,'Smelter Look-up'!$J:$J,0),MATCH($B33&amp;$C33,'Smelter Look-up'!$J:$J,0)))</f>
        <v>19</v>
      </c>
      <c r="X33" s="227">
        <f t="shared" si="3"/>
        <v>0</v>
      </c>
      <c r="AB33" s="228" t="str">
        <f t="shared" si="4"/>
        <v>GoldAllgemeine Gold-und Silberscheideanstalt A.G.</v>
      </c>
    </row>
    <row r="34" spans="1:28" s="227" customFormat="1" ht="81">
      <c r="A34" s="301" t="s">
        <v>647</v>
      </c>
      <c r="B34" s="293" t="s">
        <v>1119</v>
      </c>
      <c r="C34" s="294" t="s">
        <v>50</v>
      </c>
      <c r="D34" s="295" t="s">
        <v>50</v>
      </c>
      <c r="E34" s="293" t="s">
        <v>1091</v>
      </c>
      <c r="F34" s="293" t="s">
        <v>647</v>
      </c>
      <c r="G34" s="293" t="s">
        <v>13217</v>
      </c>
      <c r="H34" s="302" t="s">
        <v>15880</v>
      </c>
      <c r="I34" s="297" t="s">
        <v>1535</v>
      </c>
      <c r="J34" s="297" t="s">
        <v>1536</v>
      </c>
      <c r="K34" s="298" t="s">
        <v>15855</v>
      </c>
      <c r="L34" s="298" t="s">
        <v>15855</v>
      </c>
      <c r="M34" s="298" t="s">
        <v>15855</v>
      </c>
      <c r="N34" s="298" t="s">
        <v>15855</v>
      </c>
      <c r="O34" s="298" t="s">
        <v>15855</v>
      </c>
      <c r="P34" s="299" t="s">
        <v>15857</v>
      </c>
      <c r="Q34" s="300" t="s">
        <v>15855</v>
      </c>
      <c r="R34" s="182" t="str">
        <f ca="1">IF(ISERROR($V34),"",OFFSET('Smelter Look-up'!$C$4,$V34-4,0)&amp;"")</f>
        <v>Agosi AG</v>
      </c>
      <c r="S34" s="181" t="str">
        <f t="shared" ca="1" si="2"/>
        <v>DE</v>
      </c>
      <c r="T34" s="181" t="str">
        <f ca="1">IF(B34="","",IF(ISERROR(MATCH($J34,SorP!$B$1:$B$6226,0)),"",INDIRECT("'SorP'!$A$"&amp;MATCH($S34&amp;$J34,SorP!C:C,0))))</f>
        <v>DE-BW</v>
      </c>
      <c r="U34" s="201"/>
      <c r="V34" s="226">
        <f>IF(C34="",NA(),IF(OR(C34="Smelter not listed",C34="Smelter not yet identified"),MATCH($B34&amp;$D34,'Smelter Look-up'!$J:$J,0),MATCH($B34&amp;$C34,'Smelter Look-up'!$J:$J,0)))</f>
        <v>19</v>
      </c>
      <c r="X34" s="227">
        <f t="shared" si="3"/>
        <v>0</v>
      </c>
      <c r="AB34" s="228" t="str">
        <f t="shared" si="4"/>
        <v>GoldAllgemeine Gold-und Silberscheideanstalt A.G.</v>
      </c>
    </row>
    <row r="35" spans="1:28" s="227" customFormat="1" ht="108">
      <c r="A35" s="301" t="s">
        <v>648</v>
      </c>
      <c r="B35" s="293" t="s">
        <v>1119</v>
      </c>
      <c r="C35" s="294" t="s">
        <v>620</v>
      </c>
      <c r="D35" s="295" t="s">
        <v>620</v>
      </c>
      <c r="E35" s="293" t="s">
        <v>881</v>
      </c>
      <c r="F35" s="293" t="s">
        <v>648</v>
      </c>
      <c r="G35" s="293" t="s">
        <v>13217</v>
      </c>
      <c r="H35" s="296" t="s">
        <v>15855</v>
      </c>
      <c r="I35" s="297" t="s">
        <v>1537</v>
      </c>
      <c r="J35" s="297" t="s">
        <v>11992</v>
      </c>
      <c r="K35" s="298" t="s">
        <v>15855</v>
      </c>
      <c r="L35" s="298" t="s">
        <v>15855</v>
      </c>
      <c r="M35" s="298" t="s">
        <v>15855</v>
      </c>
      <c r="N35" s="298" t="s">
        <v>15855</v>
      </c>
      <c r="O35" s="298" t="s">
        <v>15855</v>
      </c>
      <c r="P35" s="299" t="s">
        <v>15857</v>
      </c>
      <c r="Q35" s="300" t="s">
        <v>15855</v>
      </c>
      <c r="R35" s="182" t="str">
        <f ca="1">IF(ISERROR($V35),"",OFFSET('Smelter Look-up'!$C$4,$V35-4,0)&amp;"")</f>
        <v>Almalyk Mining and Metallurgical Complex (AMMC)</v>
      </c>
      <c r="S35" s="181" t="str">
        <f t="shared" ca="1" si="2"/>
        <v>UZ</v>
      </c>
      <c r="T35" s="181" t="str">
        <f ca="1">IF(B35="","",IF(ISERROR(MATCH($J35,SorP!$B$1:$B$6226,0)),"",INDIRECT("'SorP'!$A$"&amp;MATCH($S35&amp;$J35,SorP!C:C,0))))</f>
        <v>UZ-TO</v>
      </c>
      <c r="U35" s="201"/>
      <c r="V35" s="226">
        <f>IF(C35="",NA(),IF(OR(C35="Smelter not listed",C35="Smelter not yet identified"),MATCH($B35&amp;$D35,'Smelter Look-up'!$J:$J,0),MATCH($B35&amp;$C35,'Smelter Look-up'!$J:$J,0)))</f>
        <v>20</v>
      </c>
      <c r="X35" s="227">
        <f t="shared" si="3"/>
        <v>0</v>
      </c>
      <c r="AB35" s="228" t="str">
        <f t="shared" si="4"/>
        <v>GoldAlmalyk Mining and Metallurgical Complex (AMMC)</v>
      </c>
    </row>
    <row r="36" spans="1:28" s="227" customFormat="1" ht="108">
      <c r="A36" s="301" t="s">
        <v>648</v>
      </c>
      <c r="B36" s="293" t="s">
        <v>1119</v>
      </c>
      <c r="C36" s="294" t="s">
        <v>620</v>
      </c>
      <c r="D36" s="295" t="s">
        <v>620</v>
      </c>
      <c r="E36" s="293" t="s">
        <v>881</v>
      </c>
      <c r="F36" s="293" t="s">
        <v>648</v>
      </c>
      <c r="G36" s="293" t="s">
        <v>13217</v>
      </c>
      <c r="H36" s="296" t="s">
        <v>15855</v>
      </c>
      <c r="I36" s="297" t="s">
        <v>1537</v>
      </c>
      <c r="J36" s="297" t="s">
        <v>11992</v>
      </c>
      <c r="K36" s="298" t="s">
        <v>15855</v>
      </c>
      <c r="L36" s="298" t="s">
        <v>15855</v>
      </c>
      <c r="M36" s="298" t="s">
        <v>15855</v>
      </c>
      <c r="N36" s="298" t="s">
        <v>15855</v>
      </c>
      <c r="O36" s="298" t="s">
        <v>15858</v>
      </c>
      <c r="P36" s="299" t="s">
        <v>15857</v>
      </c>
      <c r="Q36" s="300" t="s">
        <v>15855</v>
      </c>
      <c r="R36" s="182" t="str">
        <f ca="1">IF(ISERROR($V36),"",OFFSET('Smelter Look-up'!$C$4,$V36-4,0)&amp;"")</f>
        <v>Almalyk Mining and Metallurgical Complex (AMMC)</v>
      </c>
      <c r="S36" s="181" t="str">
        <f t="shared" ca="1" si="2"/>
        <v>UZ</v>
      </c>
      <c r="T36" s="181" t="str">
        <f ca="1">IF(B36="","",IF(ISERROR(MATCH($J36,SorP!$B$1:$B$6226,0)),"",INDIRECT("'SorP'!$A$"&amp;MATCH($S36&amp;$J36,SorP!C:C,0))))</f>
        <v>UZ-TO</v>
      </c>
      <c r="U36" s="201"/>
      <c r="V36" s="226">
        <f>IF(C36="",NA(),IF(OR(C36="Smelter not listed",C36="Smelter not yet identified"),MATCH($B36&amp;$D36,'Smelter Look-up'!$J:$J,0),MATCH($B36&amp;$C36,'Smelter Look-up'!$J:$J,0)))</f>
        <v>20</v>
      </c>
      <c r="X36" s="227">
        <f t="shared" si="3"/>
        <v>0</v>
      </c>
      <c r="AB36" s="228" t="str">
        <f t="shared" si="4"/>
        <v>GoldAlmalyk Mining and Metallurgical Complex (AMMC)</v>
      </c>
    </row>
    <row r="37" spans="1:28" s="227" customFormat="1" ht="108">
      <c r="A37" s="301" t="s">
        <v>648</v>
      </c>
      <c r="B37" s="293" t="s">
        <v>1119</v>
      </c>
      <c r="C37" s="294" t="s">
        <v>620</v>
      </c>
      <c r="D37" s="295" t="s">
        <v>620</v>
      </c>
      <c r="E37" s="293" t="s">
        <v>881</v>
      </c>
      <c r="F37" s="293" t="s">
        <v>648</v>
      </c>
      <c r="G37" s="293" t="s">
        <v>13217</v>
      </c>
      <c r="H37" s="296" t="s">
        <v>15855</v>
      </c>
      <c r="I37" s="297" t="s">
        <v>1537</v>
      </c>
      <c r="J37" s="297" t="s">
        <v>11992</v>
      </c>
      <c r="K37" s="298" t="s">
        <v>15890</v>
      </c>
      <c r="L37" s="298" t="s">
        <v>15891</v>
      </c>
      <c r="M37" s="298" t="s">
        <v>15892</v>
      </c>
      <c r="N37" s="298" t="s">
        <v>15862</v>
      </c>
      <c r="O37" s="298" t="s">
        <v>15893</v>
      </c>
      <c r="P37" s="299" t="s">
        <v>15857</v>
      </c>
      <c r="Q37" s="300" t="s">
        <v>15855</v>
      </c>
      <c r="R37" s="182" t="str">
        <f ca="1">IF(ISERROR($V37),"",OFFSET('Smelter Look-up'!$C$4,$V37-4,0)&amp;"")</f>
        <v>Almalyk Mining and Metallurgical Complex (AMMC)</v>
      </c>
      <c r="S37" s="181" t="str">
        <f t="shared" ca="1" si="2"/>
        <v>UZ</v>
      </c>
      <c r="T37" s="181" t="str">
        <f ca="1">IF(B37="","",IF(ISERROR(MATCH($J37,SorP!$B$1:$B$6226,0)),"",INDIRECT("'SorP'!$A$"&amp;MATCH($S37&amp;$J37,SorP!C:C,0))))</f>
        <v>UZ-TO</v>
      </c>
      <c r="U37" s="201"/>
      <c r="V37" s="226">
        <f>IF(C37="",NA(),IF(OR(C37="Smelter not listed",C37="Smelter not yet identified"),MATCH($B37&amp;$D37,'Smelter Look-up'!$J:$J,0),MATCH($B37&amp;$C37,'Smelter Look-up'!$J:$J,0)))</f>
        <v>20</v>
      </c>
      <c r="X37" s="227">
        <f t="shared" si="3"/>
        <v>0</v>
      </c>
      <c r="AB37" s="228" t="str">
        <f t="shared" si="4"/>
        <v>GoldAlmalyk Mining and Metallurgical Complex (AMMC)</v>
      </c>
    </row>
    <row r="38" spans="1:28" s="227" customFormat="1" ht="94.5">
      <c r="A38" s="301" t="s">
        <v>649</v>
      </c>
      <c r="B38" s="293" t="s">
        <v>1119</v>
      </c>
      <c r="C38" s="294" t="s">
        <v>12406</v>
      </c>
      <c r="D38" s="295" t="s">
        <v>12406</v>
      </c>
      <c r="E38" s="293" t="s">
        <v>1086</v>
      </c>
      <c r="F38" s="293" t="s">
        <v>649</v>
      </c>
      <c r="G38" s="293" t="s">
        <v>13217</v>
      </c>
      <c r="H38" s="296" t="s">
        <v>15855</v>
      </c>
      <c r="I38" s="297" t="s">
        <v>1539</v>
      </c>
      <c r="J38" s="297" t="s">
        <v>1540</v>
      </c>
      <c r="K38" s="298" t="s">
        <v>15855</v>
      </c>
      <c r="L38" s="298" t="s">
        <v>15855</v>
      </c>
      <c r="M38" s="298" t="s">
        <v>15855</v>
      </c>
      <c r="N38" s="298" t="s">
        <v>15855</v>
      </c>
      <c r="O38" s="298" t="s">
        <v>15855</v>
      </c>
      <c r="P38" s="299" t="s">
        <v>15857</v>
      </c>
      <c r="Q38" s="300" t="s">
        <v>15855</v>
      </c>
      <c r="R38" s="182" t="str">
        <f ca="1">IF(ISERROR($V38),"",OFFSET('Smelter Look-up'!$C$4,$V38-4,0)&amp;"")</f>
        <v>AngloGold Ashanti Corrego do Sitio Mineracao</v>
      </c>
      <c r="S38" s="181" t="str">
        <f t="shared" ref="S38:S68" ca="1" si="5">IF(B38="","",IF(ISERROR(MATCH($E38,CL,0)),"Unknown",INDIRECT("'C'!$A$"&amp;MATCH($E38,CL,0)+1)))</f>
        <v>BR</v>
      </c>
      <c r="T38" s="181" t="str">
        <f ca="1">IF(B38="","",IF(ISERROR(MATCH($J38,SorP!$B$1:$B$6226,0)),"",INDIRECT("'SorP'!$A$"&amp;MATCH($S38&amp;$J38,SorP!C:C,0))))</f>
        <v>BR-MG</v>
      </c>
      <c r="U38" s="201"/>
      <c r="V38" s="226">
        <f>IF(C38="",NA(),IF(OR(C38="Smelter not listed",C38="Smelter not yet identified"),MATCH($B38&amp;$D38,'Smelter Look-up'!$J:$J,0),MATCH($B38&amp;$C38,'Smelter Look-up'!$J:$J,0)))</f>
        <v>23</v>
      </c>
      <c r="X38" s="227">
        <f t="shared" ref="X38:X68" si="6">IF(AND(C38="Smelter not listed",OR(LEN(D38)=0,LEN(E38)=0)),1,0)</f>
        <v>0</v>
      </c>
      <c r="AB38" s="228" t="str">
        <f t="shared" ref="AB38:AB68" si="7">B38&amp;C38</f>
        <v>GoldAngloGold Ashanti Corrego do Sitio Mineracao</v>
      </c>
    </row>
    <row r="39" spans="1:28" s="227" customFormat="1" ht="94.5">
      <c r="A39" s="301" t="s">
        <v>649</v>
      </c>
      <c r="B39" s="293" t="s">
        <v>1119</v>
      </c>
      <c r="C39" s="294" t="s">
        <v>12406</v>
      </c>
      <c r="D39" s="295" t="s">
        <v>12406</v>
      </c>
      <c r="E39" s="293" t="s">
        <v>1086</v>
      </c>
      <c r="F39" s="293" t="s">
        <v>649</v>
      </c>
      <c r="G39" s="293" t="s">
        <v>13217</v>
      </c>
      <c r="H39" s="296" t="s">
        <v>15855</v>
      </c>
      <c r="I39" s="297" t="s">
        <v>1539</v>
      </c>
      <c r="J39" s="297" t="s">
        <v>1540</v>
      </c>
      <c r="K39" s="298" t="s">
        <v>15855</v>
      </c>
      <c r="L39" s="298" t="s">
        <v>15855</v>
      </c>
      <c r="M39" s="298" t="s">
        <v>15855</v>
      </c>
      <c r="N39" s="298" t="s">
        <v>15855</v>
      </c>
      <c r="O39" s="298" t="s">
        <v>15858</v>
      </c>
      <c r="P39" s="299" t="s">
        <v>15857</v>
      </c>
      <c r="Q39" s="300" t="s">
        <v>15855</v>
      </c>
      <c r="R39" s="182" t="str">
        <f ca="1">IF(ISERROR($V39),"",OFFSET('Smelter Look-up'!$C$4,$V39-4,0)&amp;"")</f>
        <v>AngloGold Ashanti Corrego do Sitio Mineracao</v>
      </c>
      <c r="S39" s="181" t="str">
        <f t="shared" ca="1" si="5"/>
        <v>BR</v>
      </c>
      <c r="T39" s="181" t="str">
        <f ca="1">IF(B39="","",IF(ISERROR(MATCH($J39,SorP!$B$1:$B$6226,0)),"",INDIRECT("'SorP'!$A$"&amp;MATCH($S39&amp;$J39,SorP!C:C,0))))</f>
        <v>BR-MG</v>
      </c>
      <c r="U39" s="201"/>
      <c r="V39" s="226">
        <f>IF(C39="",NA(),IF(OR(C39="Smelter not listed",C39="Smelter not yet identified"),MATCH($B39&amp;$D39,'Smelter Look-up'!$J:$J,0),MATCH($B39&amp;$C39,'Smelter Look-up'!$J:$J,0)))</f>
        <v>23</v>
      </c>
      <c r="X39" s="227">
        <f t="shared" si="6"/>
        <v>0</v>
      </c>
      <c r="AB39" s="228" t="str">
        <f t="shared" si="7"/>
        <v>GoldAngloGold Ashanti Corrego do Sitio Mineracao</v>
      </c>
    </row>
    <row r="40" spans="1:28" s="227" customFormat="1" ht="94.5">
      <c r="A40" s="301" t="s">
        <v>649</v>
      </c>
      <c r="B40" s="293" t="s">
        <v>1119</v>
      </c>
      <c r="C40" s="294" t="s">
        <v>12406</v>
      </c>
      <c r="D40" s="295" t="s">
        <v>12406</v>
      </c>
      <c r="E40" s="293" t="s">
        <v>1086</v>
      </c>
      <c r="F40" s="293" t="s">
        <v>649</v>
      </c>
      <c r="G40" s="293" t="s">
        <v>13217</v>
      </c>
      <c r="H40" s="296" t="s">
        <v>15855</v>
      </c>
      <c r="I40" s="297" t="s">
        <v>1539</v>
      </c>
      <c r="J40" s="297" t="s">
        <v>1540</v>
      </c>
      <c r="K40" s="298" t="s">
        <v>15894</v>
      </c>
      <c r="L40" s="298" t="s">
        <v>15895</v>
      </c>
      <c r="M40" s="298" t="s">
        <v>15892</v>
      </c>
      <c r="N40" s="298" t="s">
        <v>15862</v>
      </c>
      <c r="O40" s="298" t="s">
        <v>15893</v>
      </c>
      <c r="P40" s="299" t="s">
        <v>15857</v>
      </c>
      <c r="Q40" s="300" t="s">
        <v>15855</v>
      </c>
      <c r="R40" s="182" t="str">
        <f ca="1">IF(ISERROR($V40),"",OFFSET('Smelter Look-up'!$C$4,$V40-4,0)&amp;"")</f>
        <v>AngloGold Ashanti Corrego do Sitio Mineracao</v>
      </c>
      <c r="S40" s="181" t="str">
        <f t="shared" ca="1" si="5"/>
        <v>BR</v>
      </c>
      <c r="T40" s="181" t="str">
        <f ca="1">IF(B40="","",IF(ISERROR(MATCH($J40,SorP!$B$1:$B$6226,0)),"",INDIRECT("'SorP'!$A$"&amp;MATCH($S40&amp;$J40,SorP!C:C,0))))</f>
        <v>BR-MG</v>
      </c>
      <c r="U40" s="201"/>
      <c r="V40" s="226">
        <f>IF(C40="",NA(),IF(OR(C40="Smelter not listed",C40="Smelter not yet identified"),MATCH($B40&amp;$D40,'Smelter Look-up'!$J:$J,0),MATCH($B40&amp;$C40,'Smelter Look-up'!$J:$J,0)))</f>
        <v>23</v>
      </c>
      <c r="X40" s="227">
        <f t="shared" si="6"/>
        <v>0</v>
      </c>
      <c r="AB40" s="228" t="str">
        <f t="shared" si="7"/>
        <v>GoldAngloGold Ashanti Corrego do Sitio Mineracao</v>
      </c>
    </row>
    <row r="41" spans="1:28" s="227" customFormat="1" ht="54">
      <c r="A41" s="301" t="s">
        <v>650</v>
      </c>
      <c r="B41" s="293" t="s">
        <v>1119</v>
      </c>
      <c r="C41" s="294" t="s">
        <v>2267</v>
      </c>
      <c r="D41" s="295" t="s">
        <v>2267</v>
      </c>
      <c r="E41" s="293" t="s">
        <v>1088</v>
      </c>
      <c r="F41" s="293" t="s">
        <v>650</v>
      </c>
      <c r="G41" s="293" t="s">
        <v>15864</v>
      </c>
      <c r="H41" s="302" t="s">
        <v>15880</v>
      </c>
      <c r="I41" s="297" t="s">
        <v>1541</v>
      </c>
      <c r="J41" s="297" t="s">
        <v>1542</v>
      </c>
      <c r="K41" s="298" t="s">
        <v>15855</v>
      </c>
      <c r="L41" s="298" t="s">
        <v>15855</v>
      </c>
      <c r="M41" s="298" t="s">
        <v>15855</v>
      </c>
      <c r="N41" s="298" t="s">
        <v>15896</v>
      </c>
      <c r="O41" s="298" t="s">
        <v>15896</v>
      </c>
      <c r="P41" s="299" t="s">
        <v>15857</v>
      </c>
      <c r="Q41" s="300" t="s">
        <v>15855</v>
      </c>
      <c r="R41" s="182" t="str">
        <f ca="1">IF(ISERROR($V41),"",OFFSET('Smelter Look-up'!$C$4,$V41-4,0)&amp;"")</f>
        <v>Argor-Heraeus S.A.</v>
      </c>
      <c r="S41" s="181" t="str">
        <f t="shared" ca="1" si="5"/>
        <v>CH</v>
      </c>
      <c r="T41" s="181" t="str">
        <f ca="1">IF(B41="","",IF(ISERROR(MATCH($J41,SorP!$B$1:$B$6226,0)),"",INDIRECT("'SorP'!$A$"&amp;MATCH($S41&amp;$J41,SorP!C:C,0))))</f>
        <v>CH-TI</v>
      </c>
      <c r="U41" s="201"/>
      <c r="V41" s="226">
        <f>IF(C41="",NA(),IF(OR(C41="Smelter not listed",C41="Smelter not yet identified"),MATCH($B41&amp;$D41,'Smelter Look-up'!$J:$J,0),MATCH($B41&amp;$C41,'Smelter Look-up'!$J:$J,0)))</f>
        <v>28</v>
      </c>
      <c r="X41" s="227">
        <f t="shared" si="6"/>
        <v>0</v>
      </c>
      <c r="AB41" s="228" t="str">
        <f t="shared" si="7"/>
        <v>GoldArgor-Heraeus S.A.</v>
      </c>
    </row>
    <row r="42" spans="1:28" s="227" customFormat="1" ht="54">
      <c r="A42" s="301" t="s">
        <v>650</v>
      </c>
      <c r="B42" s="293" t="s">
        <v>1119</v>
      </c>
      <c r="C42" s="294" t="s">
        <v>2267</v>
      </c>
      <c r="D42" s="295" t="s">
        <v>2267</v>
      </c>
      <c r="E42" s="293" t="s">
        <v>1088</v>
      </c>
      <c r="F42" s="293" t="s">
        <v>650</v>
      </c>
      <c r="G42" s="293" t="s">
        <v>13217</v>
      </c>
      <c r="H42" s="296" t="s">
        <v>15855</v>
      </c>
      <c r="I42" s="297" t="s">
        <v>1541</v>
      </c>
      <c r="J42" s="297" t="s">
        <v>1542</v>
      </c>
      <c r="K42" s="298" t="s">
        <v>15855</v>
      </c>
      <c r="L42" s="298" t="s">
        <v>15855</v>
      </c>
      <c r="M42" s="298" t="s">
        <v>15855</v>
      </c>
      <c r="N42" s="298" t="s">
        <v>15855</v>
      </c>
      <c r="O42" s="298" t="s">
        <v>15855</v>
      </c>
      <c r="P42" s="299" t="s">
        <v>15857</v>
      </c>
      <c r="Q42" s="300" t="s">
        <v>15855</v>
      </c>
      <c r="R42" s="182" t="str">
        <f ca="1">IF(ISERROR($V42),"",OFFSET('Smelter Look-up'!$C$4,$V42-4,0)&amp;"")</f>
        <v>Argor-Heraeus S.A.</v>
      </c>
      <c r="S42" s="181" t="str">
        <f t="shared" ca="1" si="5"/>
        <v>CH</v>
      </c>
      <c r="T42" s="181" t="str">
        <f ca="1">IF(B42="","",IF(ISERROR(MATCH($J42,SorP!$B$1:$B$6226,0)),"",INDIRECT("'SorP'!$A$"&amp;MATCH($S42&amp;$J42,SorP!C:C,0))))</f>
        <v>CH-TI</v>
      </c>
      <c r="U42" s="201"/>
      <c r="V42" s="226">
        <f>IF(C42="",NA(),IF(OR(C42="Smelter not listed",C42="Smelter not yet identified"),MATCH($B42&amp;$D42,'Smelter Look-up'!$J:$J,0),MATCH($B42&amp;$C42,'Smelter Look-up'!$J:$J,0)))</f>
        <v>28</v>
      </c>
      <c r="X42" s="227">
        <f t="shared" si="6"/>
        <v>0</v>
      </c>
      <c r="AB42" s="228" t="str">
        <f t="shared" si="7"/>
        <v>GoldArgor-Heraeus S.A.</v>
      </c>
    </row>
    <row r="43" spans="1:28" s="227" customFormat="1" ht="54">
      <c r="A43" s="301" t="s">
        <v>650</v>
      </c>
      <c r="B43" s="293" t="s">
        <v>1119</v>
      </c>
      <c r="C43" s="294" t="s">
        <v>2267</v>
      </c>
      <c r="D43" s="295" t="s">
        <v>2267</v>
      </c>
      <c r="E43" s="293" t="s">
        <v>1088</v>
      </c>
      <c r="F43" s="293" t="s">
        <v>650</v>
      </c>
      <c r="G43" s="293" t="s">
        <v>13217</v>
      </c>
      <c r="H43" s="296" t="s">
        <v>15855</v>
      </c>
      <c r="I43" s="297" t="s">
        <v>1541</v>
      </c>
      <c r="J43" s="297" t="s">
        <v>1542</v>
      </c>
      <c r="K43" s="298" t="s">
        <v>15855</v>
      </c>
      <c r="L43" s="298" t="s">
        <v>15855</v>
      </c>
      <c r="M43" s="298" t="s">
        <v>15855</v>
      </c>
      <c r="N43" s="298" t="s">
        <v>15855</v>
      </c>
      <c r="O43" s="298" t="s">
        <v>15855</v>
      </c>
      <c r="P43" s="299" t="s">
        <v>15875</v>
      </c>
      <c r="Q43" s="300" t="s">
        <v>15855</v>
      </c>
      <c r="R43" s="182" t="str">
        <f ca="1">IF(ISERROR($V43),"",OFFSET('Smelter Look-up'!$C$4,$V43-4,0)&amp;"")</f>
        <v>Argor-Heraeus S.A.</v>
      </c>
      <c r="S43" s="181" t="str">
        <f t="shared" ca="1" si="5"/>
        <v>CH</v>
      </c>
      <c r="T43" s="181" t="str">
        <f ca="1">IF(B43="","",IF(ISERROR(MATCH($J43,SorP!$B$1:$B$6226,0)),"",INDIRECT("'SorP'!$A$"&amp;MATCH($S43&amp;$J43,SorP!C:C,0))))</f>
        <v>CH-TI</v>
      </c>
      <c r="U43" s="201"/>
      <c r="V43" s="226">
        <f>IF(C43="",NA(),IF(OR(C43="Smelter not listed",C43="Smelter not yet identified"),MATCH($B43&amp;$D43,'Smelter Look-up'!$J:$J,0),MATCH($B43&amp;$C43,'Smelter Look-up'!$J:$J,0)))</f>
        <v>28</v>
      </c>
      <c r="X43" s="227">
        <f t="shared" si="6"/>
        <v>0</v>
      </c>
      <c r="AB43" s="228" t="str">
        <f t="shared" si="7"/>
        <v>GoldArgor-Heraeus S.A.</v>
      </c>
    </row>
    <row r="44" spans="1:28" s="227" customFormat="1" ht="54">
      <c r="A44" s="301" t="s">
        <v>650</v>
      </c>
      <c r="B44" s="293" t="s">
        <v>1119</v>
      </c>
      <c r="C44" s="294" t="s">
        <v>2267</v>
      </c>
      <c r="D44" s="295" t="s">
        <v>2267</v>
      </c>
      <c r="E44" s="293" t="s">
        <v>1088</v>
      </c>
      <c r="F44" s="293" t="s">
        <v>650</v>
      </c>
      <c r="G44" s="293" t="s">
        <v>13217</v>
      </c>
      <c r="H44" s="296" t="s">
        <v>15855</v>
      </c>
      <c r="I44" s="297" t="s">
        <v>1541</v>
      </c>
      <c r="J44" s="297" t="s">
        <v>1542</v>
      </c>
      <c r="K44" s="298" t="s">
        <v>15855</v>
      </c>
      <c r="L44" s="298" t="s">
        <v>15855</v>
      </c>
      <c r="M44" s="298" t="s">
        <v>15855</v>
      </c>
      <c r="N44" s="298" t="s">
        <v>15855</v>
      </c>
      <c r="O44" s="298" t="s">
        <v>15866</v>
      </c>
      <c r="P44" s="299" t="s">
        <v>15857</v>
      </c>
      <c r="Q44" s="300" t="s">
        <v>15855</v>
      </c>
      <c r="R44" s="182" t="str">
        <f ca="1">IF(ISERROR($V44),"",OFFSET('Smelter Look-up'!$C$4,$V44-4,0)&amp;"")</f>
        <v>Argor-Heraeus S.A.</v>
      </c>
      <c r="S44" s="181" t="str">
        <f t="shared" ca="1" si="5"/>
        <v>CH</v>
      </c>
      <c r="T44" s="181" t="str">
        <f ca="1">IF(B44="","",IF(ISERROR(MATCH($J44,SorP!$B$1:$B$6226,0)),"",INDIRECT("'SorP'!$A$"&amp;MATCH($S44&amp;$J44,SorP!C:C,0))))</f>
        <v>CH-TI</v>
      </c>
      <c r="U44" s="201"/>
      <c r="V44" s="226">
        <f>IF(C44="",NA(),IF(OR(C44="Smelter not listed",C44="Smelter not yet identified"),MATCH($B44&amp;$D44,'Smelter Look-up'!$J:$J,0),MATCH($B44&amp;$C44,'Smelter Look-up'!$J:$J,0)))</f>
        <v>28</v>
      </c>
      <c r="X44" s="227">
        <f t="shared" si="6"/>
        <v>0</v>
      </c>
      <c r="AB44" s="228" t="str">
        <f t="shared" si="7"/>
        <v>GoldArgor-Heraeus S.A.</v>
      </c>
    </row>
    <row r="45" spans="1:28" s="227" customFormat="1" ht="54">
      <c r="A45" s="301" t="s">
        <v>650</v>
      </c>
      <c r="B45" s="293" t="s">
        <v>1119</v>
      </c>
      <c r="C45" s="294" t="s">
        <v>2267</v>
      </c>
      <c r="D45" s="295" t="s">
        <v>2267</v>
      </c>
      <c r="E45" s="293" t="s">
        <v>1088</v>
      </c>
      <c r="F45" s="293" t="s">
        <v>650</v>
      </c>
      <c r="G45" s="293" t="s">
        <v>13217</v>
      </c>
      <c r="H45" s="296" t="s">
        <v>15855</v>
      </c>
      <c r="I45" s="297" t="s">
        <v>1541</v>
      </c>
      <c r="J45" s="297" t="s">
        <v>1542</v>
      </c>
      <c r="K45" s="298" t="s">
        <v>15855</v>
      </c>
      <c r="L45" s="298" t="s">
        <v>15897</v>
      </c>
      <c r="M45" s="298" t="s">
        <v>12593</v>
      </c>
      <c r="N45" s="298" t="s">
        <v>2267</v>
      </c>
      <c r="O45" s="298" t="s">
        <v>1088</v>
      </c>
      <c r="P45" s="299" t="s">
        <v>15857</v>
      </c>
      <c r="Q45" s="300" t="s">
        <v>15855</v>
      </c>
      <c r="R45" s="182" t="str">
        <f ca="1">IF(ISERROR($V45),"",OFFSET('Smelter Look-up'!$C$4,$V45-4,0)&amp;"")</f>
        <v>Argor-Heraeus S.A.</v>
      </c>
      <c r="S45" s="181" t="str">
        <f t="shared" ca="1" si="5"/>
        <v>CH</v>
      </c>
      <c r="T45" s="181" t="str">
        <f ca="1">IF(B45="","",IF(ISERROR(MATCH($J45,SorP!$B$1:$B$6226,0)),"",INDIRECT("'SorP'!$A$"&amp;MATCH($S45&amp;$J45,SorP!C:C,0))))</f>
        <v>CH-TI</v>
      </c>
      <c r="U45" s="201"/>
      <c r="V45" s="226">
        <f>IF(C45="",NA(),IF(OR(C45="Smelter not listed",C45="Smelter not yet identified"),MATCH($B45&amp;$D45,'Smelter Look-up'!$J:$J,0),MATCH($B45&amp;$C45,'Smelter Look-up'!$J:$J,0)))</f>
        <v>28</v>
      </c>
      <c r="X45" s="227">
        <f t="shared" si="6"/>
        <v>0</v>
      </c>
      <c r="AB45" s="228" t="str">
        <f t="shared" si="7"/>
        <v>GoldArgor-Heraeus S.A.</v>
      </c>
    </row>
    <row r="46" spans="1:28" s="227" customFormat="1" ht="54">
      <c r="A46" s="301" t="s">
        <v>650</v>
      </c>
      <c r="B46" s="293" t="s">
        <v>1119</v>
      </c>
      <c r="C46" s="294" t="s">
        <v>2267</v>
      </c>
      <c r="D46" s="295" t="s">
        <v>2267</v>
      </c>
      <c r="E46" s="293" t="s">
        <v>1088</v>
      </c>
      <c r="F46" s="293" t="s">
        <v>650</v>
      </c>
      <c r="G46" s="293" t="s">
        <v>13217</v>
      </c>
      <c r="H46" s="296" t="s">
        <v>15855</v>
      </c>
      <c r="I46" s="297" t="s">
        <v>1541</v>
      </c>
      <c r="J46" s="297" t="s">
        <v>1542</v>
      </c>
      <c r="K46" s="298" t="s">
        <v>15898</v>
      </c>
      <c r="L46" s="298" t="s">
        <v>15899</v>
      </c>
      <c r="M46" s="298" t="s">
        <v>15900</v>
      </c>
      <c r="N46" s="298" t="s">
        <v>15862</v>
      </c>
      <c r="O46" s="298" t="s">
        <v>15901</v>
      </c>
      <c r="P46" s="299" t="s">
        <v>15857</v>
      </c>
      <c r="Q46" s="300" t="s">
        <v>15855</v>
      </c>
      <c r="R46" s="182" t="str">
        <f ca="1">IF(ISERROR($V46),"",OFFSET('Smelter Look-up'!$C$4,$V46-4,0)&amp;"")</f>
        <v>Argor-Heraeus S.A.</v>
      </c>
      <c r="S46" s="181" t="str">
        <f t="shared" ca="1" si="5"/>
        <v>CH</v>
      </c>
      <c r="T46" s="181" t="str">
        <f ca="1">IF(B46="","",IF(ISERROR(MATCH($J46,SorP!$B$1:$B$6226,0)),"",INDIRECT("'SorP'!$A$"&amp;MATCH($S46&amp;$J46,SorP!C:C,0))))</f>
        <v>CH-TI</v>
      </c>
      <c r="U46" s="201"/>
      <c r="V46" s="226">
        <f>IF(C46="",NA(),IF(OR(C46="Smelter not listed",C46="Smelter not yet identified"),MATCH($B46&amp;$D46,'Smelter Look-up'!$J:$J,0),MATCH($B46&amp;$C46,'Smelter Look-up'!$J:$J,0)))</f>
        <v>28</v>
      </c>
      <c r="X46" s="227">
        <f t="shared" si="6"/>
        <v>0</v>
      </c>
      <c r="AB46" s="228" t="str">
        <f t="shared" si="7"/>
        <v>GoldArgor-Heraeus S.A.</v>
      </c>
    </row>
    <row r="47" spans="1:28" s="227" customFormat="1" ht="54">
      <c r="A47" s="301" t="s">
        <v>650</v>
      </c>
      <c r="B47" s="293" t="s">
        <v>1119</v>
      </c>
      <c r="C47" s="294" t="s">
        <v>2267</v>
      </c>
      <c r="D47" s="295" t="s">
        <v>2267</v>
      </c>
      <c r="E47" s="293" t="s">
        <v>1088</v>
      </c>
      <c r="F47" s="293" t="s">
        <v>650</v>
      </c>
      <c r="G47" s="293" t="s">
        <v>13217</v>
      </c>
      <c r="H47" s="302" t="s">
        <v>15880</v>
      </c>
      <c r="I47" s="297" t="s">
        <v>1541</v>
      </c>
      <c r="J47" s="297" t="s">
        <v>1542</v>
      </c>
      <c r="K47" s="298" t="s">
        <v>15855</v>
      </c>
      <c r="L47" s="298" t="s">
        <v>15855</v>
      </c>
      <c r="M47" s="298" t="s">
        <v>15855</v>
      </c>
      <c r="N47" s="298" t="s">
        <v>15855</v>
      </c>
      <c r="O47" s="298" t="s">
        <v>15855</v>
      </c>
      <c r="P47" s="299" t="s">
        <v>15857</v>
      </c>
      <c r="Q47" s="300" t="s">
        <v>15855</v>
      </c>
      <c r="R47" s="182" t="str">
        <f ca="1">IF(ISERROR($V47),"",OFFSET('Smelter Look-up'!$C$4,$V47-4,0)&amp;"")</f>
        <v>Argor-Heraeus S.A.</v>
      </c>
      <c r="S47" s="181" t="str">
        <f t="shared" ca="1" si="5"/>
        <v>CH</v>
      </c>
      <c r="T47" s="181" t="str">
        <f ca="1">IF(B47="","",IF(ISERROR(MATCH($J47,SorP!$B$1:$B$6226,0)),"",INDIRECT("'SorP'!$A$"&amp;MATCH($S47&amp;$J47,SorP!C:C,0))))</f>
        <v>CH-TI</v>
      </c>
      <c r="U47" s="201"/>
      <c r="V47" s="226">
        <f>IF(C47="",NA(),IF(OR(C47="Smelter not listed",C47="Smelter not yet identified"),MATCH($B47&amp;$D47,'Smelter Look-up'!$J:$J,0),MATCH($B47&amp;$C47,'Smelter Look-up'!$J:$J,0)))</f>
        <v>28</v>
      </c>
      <c r="X47" s="227">
        <f t="shared" si="6"/>
        <v>0</v>
      </c>
      <c r="AB47" s="228" t="str">
        <f t="shared" si="7"/>
        <v>GoldArgor-Heraeus S.A.</v>
      </c>
    </row>
    <row r="48" spans="1:28" s="227" customFormat="1" ht="54">
      <c r="A48" s="301" t="s">
        <v>650</v>
      </c>
      <c r="B48" s="293" t="s">
        <v>1119</v>
      </c>
      <c r="C48" s="294" t="s">
        <v>2267</v>
      </c>
      <c r="D48" s="295" t="s">
        <v>2267</v>
      </c>
      <c r="E48" s="293" t="s">
        <v>1088</v>
      </c>
      <c r="F48" s="293" t="s">
        <v>650</v>
      </c>
      <c r="G48" s="293" t="s">
        <v>13217</v>
      </c>
      <c r="H48" s="302" t="s">
        <v>15880</v>
      </c>
      <c r="I48" s="297" t="s">
        <v>1541</v>
      </c>
      <c r="J48" s="297" t="s">
        <v>1542</v>
      </c>
      <c r="K48" s="298" t="s">
        <v>15855</v>
      </c>
      <c r="L48" s="298" t="s">
        <v>15855</v>
      </c>
      <c r="M48" s="298" t="s">
        <v>15855</v>
      </c>
      <c r="N48" s="298" t="s">
        <v>15855</v>
      </c>
      <c r="O48" s="298" t="s">
        <v>15855</v>
      </c>
      <c r="P48" s="299" t="s">
        <v>15857</v>
      </c>
      <c r="Q48" s="300" t="s">
        <v>15902</v>
      </c>
      <c r="R48" s="182" t="str">
        <f ca="1">IF(ISERROR($V48),"",OFFSET('Smelter Look-up'!$C$4,$V48-4,0)&amp;"")</f>
        <v>Argor-Heraeus S.A.</v>
      </c>
      <c r="S48" s="181" t="str">
        <f t="shared" ca="1" si="5"/>
        <v>CH</v>
      </c>
      <c r="T48" s="181" t="str">
        <f ca="1">IF(B48="","",IF(ISERROR(MATCH($J48,SorP!$B$1:$B$6226,0)),"",INDIRECT("'SorP'!$A$"&amp;MATCH($S48&amp;$J48,SorP!C:C,0))))</f>
        <v>CH-TI</v>
      </c>
      <c r="U48" s="201"/>
      <c r="V48" s="226">
        <f>IF(C48="",NA(),IF(OR(C48="Smelter not listed",C48="Smelter not yet identified"),MATCH($B48&amp;$D48,'Smelter Look-up'!$J:$J,0),MATCH($B48&amp;$C48,'Smelter Look-up'!$J:$J,0)))</f>
        <v>28</v>
      </c>
      <c r="X48" s="227">
        <f t="shared" si="6"/>
        <v>0</v>
      </c>
      <c r="AB48" s="228" t="str">
        <f t="shared" si="7"/>
        <v>GoldArgor-Heraeus S.A.</v>
      </c>
    </row>
    <row r="49" spans="1:28" s="227" customFormat="1" ht="54">
      <c r="A49" s="301" t="s">
        <v>650</v>
      </c>
      <c r="B49" s="293" t="s">
        <v>1119</v>
      </c>
      <c r="C49" s="294" t="s">
        <v>2267</v>
      </c>
      <c r="D49" s="295" t="s">
        <v>2267</v>
      </c>
      <c r="E49" s="293" t="s">
        <v>1088</v>
      </c>
      <c r="F49" s="293" t="s">
        <v>650</v>
      </c>
      <c r="G49" s="293" t="s">
        <v>13217</v>
      </c>
      <c r="H49" s="296" t="s">
        <v>15903</v>
      </c>
      <c r="I49" s="297" t="s">
        <v>1541</v>
      </c>
      <c r="J49" s="297" t="s">
        <v>1542</v>
      </c>
      <c r="K49" s="298" t="s">
        <v>15904</v>
      </c>
      <c r="L49" s="298" t="s">
        <v>15905</v>
      </c>
      <c r="M49" s="298" t="s">
        <v>15906</v>
      </c>
      <c r="N49" s="298" t="s">
        <v>1542</v>
      </c>
      <c r="O49" s="298" t="s">
        <v>1088</v>
      </c>
      <c r="P49" s="299" t="s">
        <v>15857</v>
      </c>
      <c r="Q49" s="300" t="s">
        <v>15855</v>
      </c>
      <c r="R49" s="182" t="str">
        <f ca="1">IF(ISERROR($V49),"",OFFSET('Smelter Look-up'!$C$4,$V49-4,0)&amp;"")</f>
        <v>Argor-Heraeus S.A.</v>
      </c>
      <c r="S49" s="181" t="str">
        <f t="shared" ca="1" si="5"/>
        <v>CH</v>
      </c>
      <c r="T49" s="181" t="str">
        <f ca="1">IF(B49="","",IF(ISERROR(MATCH($J49,SorP!$B$1:$B$6226,0)),"",INDIRECT("'SorP'!$A$"&amp;MATCH($S49&amp;$J49,SorP!C:C,0))))</f>
        <v>CH-TI</v>
      </c>
      <c r="U49" s="201"/>
      <c r="V49" s="226">
        <f>IF(C49="",NA(),IF(OR(C49="Smelter not listed",C49="Smelter not yet identified"),MATCH($B49&amp;$D49,'Smelter Look-up'!$J:$J,0),MATCH($B49&amp;$C49,'Smelter Look-up'!$J:$J,0)))</f>
        <v>28</v>
      </c>
      <c r="X49" s="227">
        <f t="shared" si="6"/>
        <v>0</v>
      </c>
      <c r="AB49" s="228" t="str">
        <f t="shared" si="7"/>
        <v>GoldArgor-Heraeus S.A.</v>
      </c>
    </row>
    <row r="50" spans="1:28" s="227" customFormat="1" ht="40.5">
      <c r="A50" s="301" t="s">
        <v>651</v>
      </c>
      <c r="B50" s="293" t="s">
        <v>1119</v>
      </c>
      <c r="C50" s="294" t="s">
        <v>2268</v>
      </c>
      <c r="D50" s="295" t="s">
        <v>2268</v>
      </c>
      <c r="E50" s="293" t="s">
        <v>1098</v>
      </c>
      <c r="F50" s="293" t="s">
        <v>651</v>
      </c>
      <c r="G50" s="293" t="s">
        <v>13217</v>
      </c>
      <c r="H50" s="296" t="s">
        <v>15855</v>
      </c>
      <c r="I50" s="297" t="s">
        <v>1543</v>
      </c>
      <c r="J50" s="297" t="s">
        <v>1544</v>
      </c>
      <c r="K50" s="298" t="s">
        <v>15855</v>
      </c>
      <c r="L50" s="298" t="s">
        <v>15855</v>
      </c>
      <c r="M50" s="298" t="s">
        <v>15855</v>
      </c>
      <c r="N50" s="298" t="s">
        <v>15855</v>
      </c>
      <c r="O50" s="298" t="s">
        <v>15855</v>
      </c>
      <c r="P50" s="299" t="s">
        <v>15857</v>
      </c>
      <c r="Q50" s="300" t="s">
        <v>15855</v>
      </c>
      <c r="R50" s="182" t="str">
        <f ca="1">IF(ISERROR($V50),"",OFFSET('Smelter Look-up'!$C$4,$V50-4,0)&amp;"")</f>
        <v>Asahi Pretec Corp.</v>
      </c>
      <c r="S50" s="181" t="str">
        <f t="shared" ca="1" si="5"/>
        <v>JP</v>
      </c>
      <c r="T50" s="181" t="str">
        <f ca="1">IF(B50="","",IF(ISERROR(MATCH($J50,SorP!$B$1:$B$6226,0)),"",INDIRECT("'SorP'!$A$"&amp;MATCH($S50&amp;$J50,SorP!C:C,0))))</f>
        <v>JP-28</v>
      </c>
      <c r="U50" s="201"/>
      <c r="V50" s="226">
        <f>IF(C50="",NA(),IF(OR(C50="Smelter not listed",C50="Smelter not yet identified"),MATCH($B50&amp;$D50,'Smelter Look-up'!$J:$J,0),MATCH($B50&amp;$C50,'Smelter Look-up'!$J:$J,0)))</f>
        <v>29</v>
      </c>
      <c r="X50" s="227">
        <f t="shared" si="6"/>
        <v>0</v>
      </c>
      <c r="AB50" s="228" t="str">
        <f t="shared" si="7"/>
        <v>GoldAsahi Pretec Corp.</v>
      </c>
    </row>
    <row r="51" spans="1:28" s="227" customFormat="1" ht="40.5">
      <c r="A51" s="301" t="s">
        <v>651</v>
      </c>
      <c r="B51" s="293" t="s">
        <v>1119</v>
      </c>
      <c r="C51" s="294" t="s">
        <v>2268</v>
      </c>
      <c r="D51" s="295" t="s">
        <v>2268</v>
      </c>
      <c r="E51" s="293" t="s">
        <v>1098</v>
      </c>
      <c r="F51" s="293" t="s">
        <v>651</v>
      </c>
      <c r="G51" s="293" t="s">
        <v>13217</v>
      </c>
      <c r="H51" s="296" t="s">
        <v>15855</v>
      </c>
      <c r="I51" s="297" t="s">
        <v>1543</v>
      </c>
      <c r="J51" s="297" t="s">
        <v>1544</v>
      </c>
      <c r="K51" s="298" t="s">
        <v>15855</v>
      </c>
      <c r="L51" s="298" t="s">
        <v>15855</v>
      </c>
      <c r="M51" s="298" t="s">
        <v>15855</v>
      </c>
      <c r="N51" s="298" t="s">
        <v>15855</v>
      </c>
      <c r="O51" s="298" t="s">
        <v>15855</v>
      </c>
      <c r="P51" s="299" t="s">
        <v>15857</v>
      </c>
      <c r="Q51" s="300" t="s">
        <v>15907</v>
      </c>
      <c r="R51" s="182" t="str">
        <f ca="1">IF(ISERROR($V51),"",OFFSET('Smelter Look-up'!$C$4,$V51-4,0)&amp;"")</f>
        <v>Asahi Pretec Corp.</v>
      </c>
      <c r="S51" s="181" t="str">
        <f t="shared" ca="1" si="5"/>
        <v>JP</v>
      </c>
      <c r="T51" s="181" t="str">
        <f ca="1">IF(B51="","",IF(ISERROR(MATCH($J51,SorP!$B$1:$B$6226,0)),"",INDIRECT("'SorP'!$A$"&amp;MATCH($S51&amp;$J51,SorP!C:C,0))))</f>
        <v>JP-28</v>
      </c>
      <c r="U51" s="201"/>
      <c r="V51" s="226">
        <f>IF(C51="",NA(),IF(OR(C51="Smelter not listed",C51="Smelter not yet identified"),MATCH($B51&amp;$D51,'Smelter Look-up'!$J:$J,0),MATCH($B51&amp;$C51,'Smelter Look-up'!$J:$J,0)))</f>
        <v>29</v>
      </c>
      <c r="X51" s="227">
        <f t="shared" si="6"/>
        <v>0</v>
      </c>
      <c r="AB51" s="228" t="str">
        <f t="shared" si="7"/>
        <v>GoldAsahi Pretec Corp.</v>
      </c>
    </row>
    <row r="52" spans="1:28" s="227" customFormat="1" ht="40.5">
      <c r="A52" s="301" t="s">
        <v>651</v>
      </c>
      <c r="B52" s="293" t="s">
        <v>1119</v>
      </c>
      <c r="C52" s="294" t="s">
        <v>2268</v>
      </c>
      <c r="D52" s="295" t="s">
        <v>2268</v>
      </c>
      <c r="E52" s="293" t="s">
        <v>1098</v>
      </c>
      <c r="F52" s="293" t="s">
        <v>651</v>
      </c>
      <c r="G52" s="293" t="s">
        <v>13217</v>
      </c>
      <c r="H52" s="296" t="s">
        <v>15855</v>
      </c>
      <c r="I52" s="297" t="s">
        <v>1543</v>
      </c>
      <c r="J52" s="297" t="s">
        <v>1544</v>
      </c>
      <c r="K52" s="298" t="s">
        <v>15855</v>
      </c>
      <c r="L52" s="298" t="s">
        <v>15855</v>
      </c>
      <c r="M52" s="298" t="s">
        <v>15855</v>
      </c>
      <c r="N52" s="298" t="s">
        <v>15855</v>
      </c>
      <c r="O52" s="298" t="s">
        <v>15855</v>
      </c>
      <c r="P52" s="299" t="s">
        <v>15875</v>
      </c>
      <c r="Q52" s="300" t="s">
        <v>15855</v>
      </c>
      <c r="R52" s="182" t="str">
        <f ca="1">IF(ISERROR($V52),"",OFFSET('Smelter Look-up'!$C$4,$V52-4,0)&amp;"")</f>
        <v>Asahi Pretec Corp.</v>
      </c>
      <c r="S52" s="181" t="str">
        <f t="shared" ca="1" si="5"/>
        <v>JP</v>
      </c>
      <c r="T52" s="181" t="str">
        <f ca="1">IF(B52="","",IF(ISERROR(MATCH($J52,SorP!$B$1:$B$6226,0)),"",INDIRECT("'SorP'!$A$"&amp;MATCH($S52&amp;$J52,SorP!C:C,0))))</f>
        <v>JP-28</v>
      </c>
      <c r="U52" s="201"/>
      <c r="V52" s="226">
        <f>IF(C52="",NA(),IF(OR(C52="Smelter not listed",C52="Smelter not yet identified"),MATCH($B52&amp;$D52,'Smelter Look-up'!$J:$J,0),MATCH($B52&amp;$C52,'Smelter Look-up'!$J:$J,0)))</f>
        <v>29</v>
      </c>
      <c r="X52" s="227">
        <f t="shared" si="6"/>
        <v>0</v>
      </c>
      <c r="AB52" s="228" t="str">
        <f t="shared" si="7"/>
        <v>GoldAsahi Pretec Corp.</v>
      </c>
    </row>
    <row r="53" spans="1:28" s="227" customFormat="1" ht="40.5">
      <c r="A53" s="301" t="s">
        <v>651</v>
      </c>
      <c r="B53" s="293" t="s">
        <v>1119</v>
      </c>
      <c r="C53" s="294" t="s">
        <v>2268</v>
      </c>
      <c r="D53" s="295" t="s">
        <v>2268</v>
      </c>
      <c r="E53" s="293" t="s">
        <v>1098</v>
      </c>
      <c r="F53" s="293" t="s">
        <v>651</v>
      </c>
      <c r="G53" s="293" t="s">
        <v>13217</v>
      </c>
      <c r="H53" s="296" t="s">
        <v>15855</v>
      </c>
      <c r="I53" s="297" t="s">
        <v>1543</v>
      </c>
      <c r="J53" s="297" t="s">
        <v>1544</v>
      </c>
      <c r="K53" s="298" t="s">
        <v>15855</v>
      </c>
      <c r="L53" s="298" t="s">
        <v>15855</v>
      </c>
      <c r="M53" s="298" t="s">
        <v>15855</v>
      </c>
      <c r="N53" s="298" t="s">
        <v>15855</v>
      </c>
      <c r="O53" s="298" t="s">
        <v>15866</v>
      </c>
      <c r="P53" s="299" t="s">
        <v>15857</v>
      </c>
      <c r="Q53" s="300" t="s">
        <v>15855</v>
      </c>
      <c r="R53" s="182" t="str">
        <f ca="1">IF(ISERROR($V53),"",OFFSET('Smelter Look-up'!$C$4,$V53-4,0)&amp;"")</f>
        <v>Asahi Pretec Corp.</v>
      </c>
      <c r="S53" s="181" t="str">
        <f t="shared" ca="1" si="5"/>
        <v>JP</v>
      </c>
      <c r="T53" s="181" t="str">
        <f ca="1">IF(B53="","",IF(ISERROR(MATCH($J53,SorP!$B$1:$B$6226,0)),"",INDIRECT("'SorP'!$A$"&amp;MATCH($S53&amp;$J53,SorP!C:C,0))))</f>
        <v>JP-28</v>
      </c>
      <c r="U53" s="201"/>
      <c r="V53" s="226">
        <f>IF(C53="",NA(),IF(OR(C53="Smelter not listed",C53="Smelter not yet identified"),MATCH($B53&amp;$D53,'Smelter Look-up'!$J:$J,0),MATCH($B53&amp;$C53,'Smelter Look-up'!$J:$J,0)))</f>
        <v>29</v>
      </c>
      <c r="X53" s="227">
        <f t="shared" si="6"/>
        <v>0</v>
      </c>
      <c r="AB53" s="228" t="str">
        <f t="shared" si="7"/>
        <v>GoldAsahi Pretec Corp.</v>
      </c>
    </row>
    <row r="54" spans="1:28" s="227" customFormat="1" ht="40.5">
      <c r="A54" s="301" t="s">
        <v>651</v>
      </c>
      <c r="B54" s="293" t="s">
        <v>1119</v>
      </c>
      <c r="C54" s="294" t="s">
        <v>2268</v>
      </c>
      <c r="D54" s="295" t="s">
        <v>2268</v>
      </c>
      <c r="E54" s="293" t="s">
        <v>1098</v>
      </c>
      <c r="F54" s="293" t="s">
        <v>651</v>
      </c>
      <c r="G54" s="293" t="s">
        <v>13217</v>
      </c>
      <c r="H54" s="296" t="s">
        <v>15855</v>
      </c>
      <c r="I54" s="297" t="s">
        <v>1543</v>
      </c>
      <c r="J54" s="297" t="s">
        <v>1544</v>
      </c>
      <c r="K54" s="298" t="s">
        <v>15908</v>
      </c>
      <c r="L54" s="298" t="s">
        <v>15909</v>
      </c>
      <c r="M54" s="298" t="s">
        <v>15910</v>
      </c>
      <c r="N54" s="298" t="s">
        <v>15911</v>
      </c>
      <c r="O54" s="298" t="s">
        <v>15893</v>
      </c>
      <c r="P54" s="299" t="s">
        <v>15857</v>
      </c>
      <c r="Q54" s="300" t="s">
        <v>15855</v>
      </c>
      <c r="R54" s="182" t="str">
        <f ca="1">IF(ISERROR($V54),"",OFFSET('Smelter Look-up'!$C$4,$V54-4,0)&amp;"")</f>
        <v>Asahi Pretec Corp.</v>
      </c>
      <c r="S54" s="181" t="str">
        <f t="shared" ca="1" si="5"/>
        <v>JP</v>
      </c>
      <c r="T54" s="181" t="str">
        <f ca="1">IF(B54="","",IF(ISERROR(MATCH($J54,SorP!$B$1:$B$6226,0)),"",INDIRECT("'SorP'!$A$"&amp;MATCH($S54&amp;$J54,SorP!C:C,0))))</f>
        <v>JP-28</v>
      </c>
      <c r="U54" s="201"/>
      <c r="V54" s="226">
        <f>IF(C54="",NA(),IF(OR(C54="Smelter not listed",C54="Smelter not yet identified"),MATCH($B54&amp;$D54,'Smelter Look-up'!$J:$J,0),MATCH($B54&amp;$C54,'Smelter Look-up'!$J:$J,0)))</f>
        <v>29</v>
      </c>
      <c r="X54" s="227">
        <f t="shared" si="6"/>
        <v>0</v>
      </c>
      <c r="AB54" s="228" t="str">
        <f t="shared" si="7"/>
        <v>GoldAsahi Pretec Corp.</v>
      </c>
    </row>
    <row r="55" spans="1:28" s="227" customFormat="1" ht="40.5">
      <c r="A55" s="301" t="s">
        <v>651</v>
      </c>
      <c r="B55" s="293" t="s">
        <v>1119</v>
      </c>
      <c r="C55" s="294" t="s">
        <v>2268</v>
      </c>
      <c r="D55" s="295" t="s">
        <v>2268</v>
      </c>
      <c r="E55" s="293" t="s">
        <v>1098</v>
      </c>
      <c r="F55" s="293" t="s">
        <v>651</v>
      </c>
      <c r="G55" s="293" t="s">
        <v>13217</v>
      </c>
      <c r="H55" s="302" t="s">
        <v>15880</v>
      </c>
      <c r="I55" s="297" t="s">
        <v>1543</v>
      </c>
      <c r="J55" s="297" t="s">
        <v>1544</v>
      </c>
      <c r="K55" s="298" t="s">
        <v>15855</v>
      </c>
      <c r="L55" s="298" t="s">
        <v>15855</v>
      </c>
      <c r="M55" s="298" t="s">
        <v>15855</v>
      </c>
      <c r="N55" s="298" t="s">
        <v>15855</v>
      </c>
      <c r="O55" s="298" t="s">
        <v>15855</v>
      </c>
      <c r="P55" s="299" t="s">
        <v>15857</v>
      </c>
      <c r="Q55" s="300" t="s">
        <v>15855</v>
      </c>
      <c r="R55" s="182" t="str">
        <f ca="1">IF(ISERROR($V55),"",OFFSET('Smelter Look-up'!$C$4,$V55-4,0)&amp;"")</f>
        <v>Asahi Pretec Corp.</v>
      </c>
      <c r="S55" s="181" t="str">
        <f t="shared" ca="1" si="5"/>
        <v>JP</v>
      </c>
      <c r="T55" s="181" t="str">
        <f ca="1">IF(B55="","",IF(ISERROR(MATCH($J55,SorP!$B$1:$B$6226,0)),"",INDIRECT("'SorP'!$A$"&amp;MATCH($S55&amp;$J55,SorP!C:C,0))))</f>
        <v>JP-28</v>
      </c>
      <c r="U55" s="201"/>
      <c r="V55" s="226">
        <f>IF(C55="",NA(),IF(OR(C55="Smelter not listed",C55="Smelter not yet identified"),MATCH($B55&amp;$D55,'Smelter Look-up'!$J:$J,0),MATCH($B55&amp;$C55,'Smelter Look-up'!$J:$J,0)))</f>
        <v>29</v>
      </c>
      <c r="X55" s="227">
        <f t="shared" si="6"/>
        <v>0</v>
      </c>
      <c r="AB55" s="228" t="str">
        <f t="shared" si="7"/>
        <v>GoldAsahi Pretec Corp.</v>
      </c>
    </row>
    <row r="56" spans="1:28" s="227" customFormat="1" ht="40.5">
      <c r="A56" s="301" t="s">
        <v>651</v>
      </c>
      <c r="B56" s="293" t="s">
        <v>1119</v>
      </c>
      <c r="C56" s="294" t="s">
        <v>2268</v>
      </c>
      <c r="D56" s="295" t="s">
        <v>2268</v>
      </c>
      <c r="E56" s="293" t="s">
        <v>1098</v>
      </c>
      <c r="F56" s="293" t="s">
        <v>651</v>
      </c>
      <c r="G56" s="293" t="s">
        <v>13217</v>
      </c>
      <c r="H56" s="302" t="s">
        <v>15880</v>
      </c>
      <c r="I56" s="297" t="s">
        <v>1543</v>
      </c>
      <c r="J56" s="297" t="s">
        <v>1544</v>
      </c>
      <c r="K56" s="298" t="s">
        <v>15855</v>
      </c>
      <c r="L56" s="298" t="s">
        <v>15855</v>
      </c>
      <c r="M56" s="298" t="s">
        <v>15855</v>
      </c>
      <c r="N56" s="298" t="s">
        <v>15855</v>
      </c>
      <c r="O56" s="298" t="s">
        <v>15855</v>
      </c>
      <c r="P56" s="299" t="s">
        <v>15857</v>
      </c>
      <c r="Q56" s="300" t="s">
        <v>15912</v>
      </c>
      <c r="R56" s="182" t="str">
        <f ca="1">IF(ISERROR($V56),"",OFFSET('Smelter Look-up'!$C$4,$V56-4,0)&amp;"")</f>
        <v>Asahi Pretec Corp.</v>
      </c>
      <c r="S56" s="181" t="str">
        <f t="shared" ca="1" si="5"/>
        <v>JP</v>
      </c>
      <c r="T56" s="181" t="str">
        <f ca="1">IF(B56="","",IF(ISERROR(MATCH($J56,SorP!$B$1:$B$6226,0)),"",INDIRECT("'SorP'!$A$"&amp;MATCH($S56&amp;$J56,SorP!C:C,0))))</f>
        <v>JP-28</v>
      </c>
      <c r="U56" s="201"/>
      <c r="V56" s="226">
        <f>IF(C56="",NA(),IF(OR(C56="Smelter not listed",C56="Smelter not yet identified"),MATCH($B56&amp;$D56,'Smelter Look-up'!$J:$J,0),MATCH($B56&amp;$C56,'Smelter Look-up'!$J:$J,0)))</f>
        <v>29</v>
      </c>
      <c r="X56" s="227">
        <f t="shared" si="6"/>
        <v>0</v>
      </c>
      <c r="AB56" s="228" t="str">
        <f t="shared" si="7"/>
        <v>GoldAsahi Pretec Corp.</v>
      </c>
    </row>
    <row r="57" spans="1:28" s="227" customFormat="1" ht="67.5">
      <c r="A57" s="301" t="s">
        <v>683</v>
      </c>
      <c r="B57" s="293" t="s">
        <v>1119</v>
      </c>
      <c r="C57" s="294" t="s">
        <v>2269</v>
      </c>
      <c r="D57" s="295" t="s">
        <v>2269</v>
      </c>
      <c r="E57" s="293" t="s">
        <v>1087</v>
      </c>
      <c r="F57" s="293" t="s">
        <v>683</v>
      </c>
      <c r="G57" s="293" t="s">
        <v>15865</v>
      </c>
      <c r="H57" s="296" t="s">
        <v>15855</v>
      </c>
      <c r="I57" s="297" t="s">
        <v>1594</v>
      </c>
      <c r="J57" s="297" t="s">
        <v>1595</v>
      </c>
      <c r="K57" s="298" t="s">
        <v>15855</v>
      </c>
      <c r="L57" s="298" t="s">
        <v>15855</v>
      </c>
      <c r="M57" s="298" t="s">
        <v>15855</v>
      </c>
      <c r="N57" s="298" t="s">
        <v>15855</v>
      </c>
      <c r="O57" s="298" t="s">
        <v>15855</v>
      </c>
      <c r="P57" s="299" t="s">
        <v>15857</v>
      </c>
      <c r="Q57" s="300" t="s">
        <v>15855</v>
      </c>
      <c r="R57" s="182" t="str">
        <f ca="1">IF(ISERROR($V57),"",OFFSET('Smelter Look-up'!$C$4,$V57-4,0)&amp;"")</f>
        <v>Asahi Refining Canada Ltd.</v>
      </c>
      <c r="S57" s="181" t="str">
        <f t="shared" ca="1" si="5"/>
        <v>CA</v>
      </c>
      <c r="T57" s="181" t="str">
        <f ca="1">IF(B57="","",IF(ISERROR(MATCH($J57,SorP!$B$1:$B$6226,0)),"",INDIRECT("'SorP'!$A$"&amp;MATCH($S57&amp;$J57,SorP!C:C,0))))</f>
        <v>CA-ON</v>
      </c>
      <c r="U57" s="201"/>
      <c r="V57" s="226">
        <f>IF(C57="",NA(),IF(OR(C57="Smelter not listed",C57="Smelter not yet identified"),MATCH($B57&amp;$D57,'Smelter Look-up'!$J:$J,0),MATCH($B57&amp;$C57,'Smelter Look-up'!$J:$J,0)))</f>
        <v>30</v>
      </c>
      <c r="X57" s="227">
        <f t="shared" si="6"/>
        <v>0</v>
      </c>
      <c r="AB57" s="228" t="str">
        <f t="shared" si="7"/>
        <v>GoldAsahi Refining Canada Ltd.</v>
      </c>
    </row>
    <row r="58" spans="1:28" s="227" customFormat="1" ht="67.5">
      <c r="A58" s="301" t="s">
        <v>683</v>
      </c>
      <c r="B58" s="293" t="s">
        <v>1119</v>
      </c>
      <c r="C58" s="294" t="s">
        <v>2269</v>
      </c>
      <c r="D58" s="295" t="s">
        <v>2269</v>
      </c>
      <c r="E58" s="293" t="s">
        <v>1087</v>
      </c>
      <c r="F58" s="293" t="s">
        <v>683</v>
      </c>
      <c r="G58" s="293" t="s">
        <v>13217</v>
      </c>
      <c r="H58" s="296" t="s">
        <v>15855</v>
      </c>
      <c r="I58" s="297" t="s">
        <v>1594</v>
      </c>
      <c r="J58" s="297" t="s">
        <v>1595</v>
      </c>
      <c r="K58" s="298" t="s">
        <v>15855</v>
      </c>
      <c r="L58" s="298" t="s">
        <v>15855</v>
      </c>
      <c r="M58" s="298" t="s">
        <v>15855</v>
      </c>
      <c r="N58" s="298" t="s">
        <v>15855</v>
      </c>
      <c r="O58" s="298" t="s">
        <v>15855</v>
      </c>
      <c r="P58" s="299" t="s">
        <v>15857</v>
      </c>
      <c r="Q58" s="300" t="s">
        <v>15855</v>
      </c>
      <c r="R58" s="182" t="str">
        <f ca="1">IF(ISERROR($V58),"",OFFSET('Smelter Look-up'!$C$4,$V58-4,0)&amp;"")</f>
        <v>Asahi Refining Canada Ltd.</v>
      </c>
      <c r="S58" s="181" t="str">
        <f t="shared" ca="1" si="5"/>
        <v>CA</v>
      </c>
      <c r="T58" s="181" t="str">
        <f ca="1">IF(B58="","",IF(ISERROR(MATCH($J58,SorP!$B$1:$B$6226,0)),"",INDIRECT("'SorP'!$A$"&amp;MATCH($S58&amp;$J58,SorP!C:C,0))))</f>
        <v>CA-ON</v>
      </c>
      <c r="U58" s="201"/>
      <c r="V58" s="226">
        <f>IF(C58="",NA(),IF(OR(C58="Smelter not listed",C58="Smelter not yet identified"),MATCH($B58&amp;$D58,'Smelter Look-up'!$J:$J,0),MATCH($B58&amp;$C58,'Smelter Look-up'!$J:$J,0)))</f>
        <v>30</v>
      </c>
      <c r="X58" s="227">
        <f t="shared" si="6"/>
        <v>0</v>
      </c>
      <c r="AB58" s="228" t="str">
        <f t="shared" si="7"/>
        <v>GoldAsahi Refining Canada Ltd.</v>
      </c>
    </row>
    <row r="59" spans="1:28" s="227" customFormat="1" ht="67.5">
      <c r="A59" s="301" t="s">
        <v>683</v>
      </c>
      <c r="B59" s="293" t="s">
        <v>1119</v>
      </c>
      <c r="C59" s="294" t="s">
        <v>2269</v>
      </c>
      <c r="D59" s="295" t="s">
        <v>2269</v>
      </c>
      <c r="E59" s="293" t="s">
        <v>1087</v>
      </c>
      <c r="F59" s="293" t="s">
        <v>683</v>
      </c>
      <c r="G59" s="293" t="s">
        <v>13217</v>
      </c>
      <c r="H59" s="296" t="s">
        <v>15855</v>
      </c>
      <c r="I59" s="297" t="s">
        <v>1594</v>
      </c>
      <c r="J59" s="297" t="s">
        <v>1595</v>
      </c>
      <c r="K59" s="298" t="s">
        <v>15855</v>
      </c>
      <c r="L59" s="298" t="s">
        <v>15855</v>
      </c>
      <c r="M59" s="298" t="s">
        <v>15855</v>
      </c>
      <c r="N59" s="298" t="s">
        <v>15855</v>
      </c>
      <c r="O59" s="298" t="s">
        <v>15913</v>
      </c>
      <c r="P59" s="299" t="s">
        <v>15857</v>
      </c>
      <c r="Q59" s="300" t="s">
        <v>15855</v>
      </c>
      <c r="R59" s="182" t="str">
        <f ca="1">IF(ISERROR($V59),"",OFFSET('Smelter Look-up'!$C$4,$V59-4,0)&amp;"")</f>
        <v>Asahi Refining Canada Ltd.</v>
      </c>
      <c r="S59" s="181" t="str">
        <f t="shared" ca="1" si="5"/>
        <v>CA</v>
      </c>
      <c r="T59" s="181" t="str">
        <f ca="1">IF(B59="","",IF(ISERROR(MATCH($J59,SorP!$B$1:$B$6226,0)),"",INDIRECT("'SorP'!$A$"&amp;MATCH($S59&amp;$J59,SorP!C:C,0))))</f>
        <v>CA-ON</v>
      </c>
      <c r="U59" s="201"/>
      <c r="V59" s="226">
        <f>IF(C59="",NA(),IF(OR(C59="Smelter not listed",C59="Smelter not yet identified"),MATCH($B59&amp;$D59,'Smelter Look-up'!$J:$J,0),MATCH($B59&amp;$C59,'Smelter Look-up'!$J:$J,0)))</f>
        <v>30</v>
      </c>
      <c r="X59" s="227">
        <f t="shared" si="6"/>
        <v>0</v>
      </c>
      <c r="AB59" s="228" t="str">
        <f t="shared" si="7"/>
        <v>GoldAsahi Refining Canada Ltd.</v>
      </c>
    </row>
    <row r="60" spans="1:28" s="227" customFormat="1" ht="67.5">
      <c r="A60" s="301" t="s">
        <v>683</v>
      </c>
      <c r="B60" s="293" t="s">
        <v>1119</v>
      </c>
      <c r="C60" s="294" t="s">
        <v>2269</v>
      </c>
      <c r="D60" s="295" t="s">
        <v>2269</v>
      </c>
      <c r="E60" s="293" t="s">
        <v>1087</v>
      </c>
      <c r="F60" s="293" t="s">
        <v>683</v>
      </c>
      <c r="G60" s="293" t="s">
        <v>13217</v>
      </c>
      <c r="H60" s="296" t="s">
        <v>15855</v>
      </c>
      <c r="I60" s="297" t="s">
        <v>1594</v>
      </c>
      <c r="J60" s="297" t="s">
        <v>1595</v>
      </c>
      <c r="K60" s="298" t="s">
        <v>15914</v>
      </c>
      <c r="L60" s="298" t="s">
        <v>15915</v>
      </c>
      <c r="M60" s="298" t="s">
        <v>15916</v>
      </c>
      <c r="N60" s="298" t="s">
        <v>15917</v>
      </c>
      <c r="O60" s="298" t="s">
        <v>15918</v>
      </c>
      <c r="P60" s="299" t="s">
        <v>15857</v>
      </c>
      <c r="Q60" s="300" t="s">
        <v>15855</v>
      </c>
      <c r="R60" s="182" t="str">
        <f ca="1">IF(ISERROR($V60),"",OFFSET('Smelter Look-up'!$C$4,$V60-4,0)&amp;"")</f>
        <v>Asahi Refining Canada Ltd.</v>
      </c>
      <c r="S60" s="181" t="str">
        <f t="shared" ca="1" si="5"/>
        <v>CA</v>
      </c>
      <c r="T60" s="181" t="str">
        <f ca="1">IF(B60="","",IF(ISERROR(MATCH($J60,SorP!$B$1:$B$6226,0)),"",INDIRECT("'SorP'!$A$"&amp;MATCH($S60&amp;$J60,SorP!C:C,0))))</f>
        <v>CA-ON</v>
      </c>
      <c r="U60" s="201"/>
      <c r="V60" s="226">
        <f>IF(C60="",NA(),IF(OR(C60="Smelter not listed",C60="Smelter not yet identified"),MATCH($B60&amp;$D60,'Smelter Look-up'!$J:$J,0),MATCH($B60&amp;$C60,'Smelter Look-up'!$J:$J,0)))</f>
        <v>30</v>
      </c>
      <c r="X60" s="227">
        <f t="shared" si="6"/>
        <v>0</v>
      </c>
      <c r="AB60" s="228" t="str">
        <f t="shared" si="7"/>
        <v>GoldAsahi Refining Canada Ltd.</v>
      </c>
    </row>
    <row r="61" spans="1:28" s="227" customFormat="1" ht="67.5">
      <c r="A61" s="301" t="s">
        <v>683</v>
      </c>
      <c r="B61" s="293" t="s">
        <v>1119</v>
      </c>
      <c r="C61" s="294" t="s">
        <v>2269</v>
      </c>
      <c r="D61" s="295" t="s">
        <v>2269</v>
      </c>
      <c r="E61" s="293" t="s">
        <v>1087</v>
      </c>
      <c r="F61" s="293" t="s">
        <v>683</v>
      </c>
      <c r="G61" s="293" t="s">
        <v>13217</v>
      </c>
      <c r="H61" s="302" t="s">
        <v>15880</v>
      </c>
      <c r="I61" s="297" t="s">
        <v>1594</v>
      </c>
      <c r="J61" s="297" t="s">
        <v>1595</v>
      </c>
      <c r="K61" s="298" t="s">
        <v>15855</v>
      </c>
      <c r="L61" s="298" t="s">
        <v>15855</v>
      </c>
      <c r="M61" s="298" t="s">
        <v>15855</v>
      </c>
      <c r="N61" s="298" t="s">
        <v>15855</v>
      </c>
      <c r="O61" s="298" t="s">
        <v>15855</v>
      </c>
      <c r="P61" s="299" t="s">
        <v>15857</v>
      </c>
      <c r="Q61" s="300" t="s">
        <v>15855</v>
      </c>
      <c r="R61" s="182" t="str">
        <f ca="1">IF(ISERROR($V61),"",OFFSET('Smelter Look-up'!$C$4,$V61-4,0)&amp;"")</f>
        <v>Asahi Refining Canada Ltd.</v>
      </c>
      <c r="S61" s="181" t="str">
        <f t="shared" ca="1" si="5"/>
        <v>CA</v>
      </c>
      <c r="T61" s="181" t="str">
        <f ca="1">IF(B61="","",IF(ISERROR(MATCH($J61,SorP!$B$1:$B$6226,0)),"",INDIRECT("'SorP'!$A$"&amp;MATCH($S61&amp;$J61,SorP!C:C,0))))</f>
        <v>CA-ON</v>
      </c>
      <c r="U61" s="201"/>
      <c r="V61" s="226">
        <f>IF(C61="",NA(),IF(OR(C61="Smelter not listed",C61="Smelter not yet identified"),MATCH($B61&amp;$D61,'Smelter Look-up'!$J:$J,0),MATCH($B61&amp;$C61,'Smelter Look-up'!$J:$J,0)))</f>
        <v>30</v>
      </c>
      <c r="X61" s="227">
        <f t="shared" si="6"/>
        <v>0</v>
      </c>
      <c r="AB61" s="228" t="str">
        <f t="shared" si="7"/>
        <v>GoldAsahi Refining Canada Ltd.</v>
      </c>
    </row>
    <row r="62" spans="1:28" s="227" customFormat="1" ht="67.5">
      <c r="A62" s="301" t="s">
        <v>683</v>
      </c>
      <c r="B62" s="293" t="s">
        <v>1119</v>
      </c>
      <c r="C62" s="294" t="s">
        <v>2269</v>
      </c>
      <c r="D62" s="295" t="s">
        <v>2269</v>
      </c>
      <c r="E62" s="293" t="s">
        <v>1087</v>
      </c>
      <c r="F62" s="293" t="s">
        <v>683</v>
      </c>
      <c r="G62" s="293" t="s">
        <v>13217</v>
      </c>
      <c r="H62" s="296" t="s">
        <v>15919</v>
      </c>
      <c r="I62" s="297" t="s">
        <v>1594</v>
      </c>
      <c r="J62" s="297" t="s">
        <v>1595</v>
      </c>
      <c r="K62" s="298" t="s">
        <v>15920</v>
      </c>
      <c r="L62" s="298" t="s">
        <v>15921</v>
      </c>
      <c r="M62" s="298" t="s">
        <v>15855</v>
      </c>
      <c r="N62" s="298" t="s">
        <v>15917</v>
      </c>
      <c r="O62" s="298" t="s">
        <v>15922</v>
      </c>
      <c r="P62" s="299" t="s">
        <v>15857</v>
      </c>
      <c r="Q62" s="300" t="s">
        <v>15923</v>
      </c>
      <c r="R62" s="182" t="str">
        <f ca="1">IF(ISERROR($V62),"",OFFSET('Smelter Look-up'!$C$4,$V62-4,0)&amp;"")</f>
        <v>Asahi Refining Canada Ltd.</v>
      </c>
      <c r="S62" s="181" t="str">
        <f t="shared" ca="1" si="5"/>
        <v>CA</v>
      </c>
      <c r="T62" s="181" t="str">
        <f ca="1">IF(B62="","",IF(ISERROR(MATCH($J62,SorP!$B$1:$B$6226,0)),"",INDIRECT("'SorP'!$A$"&amp;MATCH($S62&amp;$J62,SorP!C:C,0))))</f>
        <v>CA-ON</v>
      </c>
      <c r="U62" s="201"/>
      <c r="V62" s="226">
        <f>IF(C62="",NA(),IF(OR(C62="Smelter not listed",C62="Smelter not yet identified"),MATCH($B62&amp;$D62,'Smelter Look-up'!$J:$J,0),MATCH($B62&amp;$C62,'Smelter Look-up'!$J:$J,0)))</f>
        <v>30</v>
      </c>
      <c r="X62" s="227">
        <f t="shared" si="6"/>
        <v>0</v>
      </c>
      <c r="AB62" s="228" t="str">
        <f t="shared" si="7"/>
        <v>GoldAsahi Refining Canada Ltd.</v>
      </c>
    </row>
    <row r="63" spans="1:28" s="227" customFormat="1" ht="67.5">
      <c r="A63" s="301" t="s">
        <v>683</v>
      </c>
      <c r="B63" s="293" t="s">
        <v>1119</v>
      </c>
      <c r="C63" s="294" t="s">
        <v>2269</v>
      </c>
      <c r="D63" s="295" t="s">
        <v>2269</v>
      </c>
      <c r="E63" s="293" t="s">
        <v>1087</v>
      </c>
      <c r="F63" s="293" t="s">
        <v>683</v>
      </c>
      <c r="G63" s="293" t="s">
        <v>13217</v>
      </c>
      <c r="H63" s="296" t="s">
        <v>15919</v>
      </c>
      <c r="I63" s="297" t="s">
        <v>1594</v>
      </c>
      <c r="J63" s="297" t="s">
        <v>1595</v>
      </c>
      <c r="K63" s="298" t="s">
        <v>15920</v>
      </c>
      <c r="L63" s="298" t="s">
        <v>15921</v>
      </c>
      <c r="M63" s="298" t="s">
        <v>15855</v>
      </c>
      <c r="N63" s="298" t="s">
        <v>15917</v>
      </c>
      <c r="O63" s="298" t="s">
        <v>15922</v>
      </c>
      <c r="P63" s="299" t="s">
        <v>15857</v>
      </c>
      <c r="Q63" s="300" t="s">
        <v>15924</v>
      </c>
      <c r="R63" s="182" t="str">
        <f ca="1">IF(ISERROR($V63),"",OFFSET('Smelter Look-up'!$C$4,$V63-4,0)&amp;"")</f>
        <v>Asahi Refining Canada Ltd.</v>
      </c>
      <c r="S63" s="181" t="str">
        <f t="shared" ca="1" si="5"/>
        <v>CA</v>
      </c>
      <c r="T63" s="181" t="str">
        <f ca="1">IF(B63="","",IF(ISERROR(MATCH($J63,SorP!$B$1:$B$6226,0)),"",INDIRECT("'SorP'!$A$"&amp;MATCH($S63&amp;$J63,SorP!C:C,0))))</f>
        <v>CA-ON</v>
      </c>
      <c r="U63" s="201"/>
      <c r="V63" s="226">
        <f>IF(C63="",NA(),IF(OR(C63="Smelter not listed",C63="Smelter not yet identified"),MATCH($B63&amp;$D63,'Smelter Look-up'!$J:$J,0),MATCH($B63&amp;$C63,'Smelter Look-up'!$J:$J,0)))</f>
        <v>30</v>
      </c>
      <c r="X63" s="227">
        <f t="shared" si="6"/>
        <v>0</v>
      </c>
      <c r="AB63" s="228" t="str">
        <f t="shared" si="7"/>
        <v>GoldAsahi Refining Canada Ltd.</v>
      </c>
    </row>
    <row r="64" spans="1:28" s="227" customFormat="1" ht="54">
      <c r="A64" s="301" t="s">
        <v>682</v>
      </c>
      <c r="B64" s="293" t="s">
        <v>1119</v>
      </c>
      <c r="C64" s="294" t="s">
        <v>2184</v>
      </c>
      <c r="D64" s="295" t="s">
        <v>2184</v>
      </c>
      <c r="E64" s="293" t="s">
        <v>2415</v>
      </c>
      <c r="F64" s="293" t="s">
        <v>682</v>
      </c>
      <c r="G64" s="293" t="s">
        <v>13217</v>
      </c>
      <c r="H64" s="296" t="s">
        <v>15855</v>
      </c>
      <c r="I64" s="297" t="s">
        <v>1591</v>
      </c>
      <c r="J64" s="297" t="s">
        <v>1592</v>
      </c>
      <c r="K64" s="298" t="s">
        <v>15855</v>
      </c>
      <c r="L64" s="298" t="s">
        <v>15855</v>
      </c>
      <c r="M64" s="298" t="s">
        <v>15855</v>
      </c>
      <c r="N64" s="298" t="s">
        <v>15855</v>
      </c>
      <c r="O64" s="298" t="s">
        <v>15855</v>
      </c>
      <c r="P64" s="299" t="s">
        <v>15857</v>
      </c>
      <c r="Q64" s="300" t="s">
        <v>15855</v>
      </c>
      <c r="R64" s="182" t="str">
        <f ca="1">IF(ISERROR($V64),"",OFFSET('Smelter Look-up'!$C$4,$V64-4,0)&amp;"")</f>
        <v>Asahi Refining USA Inc.</v>
      </c>
      <c r="S64" s="181" t="str">
        <f t="shared" ca="1" si="5"/>
        <v>US</v>
      </c>
      <c r="T64" s="181" t="str">
        <f ca="1">IF(B64="","",IF(ISERROR(MATCH($J64,SorP!$B$1:$B$6226,0)),"",INDIRECT("'SorP'!$A$"&amp;MATCH($S64&amp;$J64,SorP!C:C,0))))</f>
        <v>US-UT</v>
      </c>
      <c r="U64" s="201"/>
      <c r="V64" s="226">
        <f>IF(C64="",NA(),IF(OR(C64="Smelter not listed",C64="Smelter not yet identified"),MATCH($B64&amp;$D64,'Smelter Look-up'!$J:$J,0),MATCH($B64&amp;$C64,'Smelter Look-up'!$J:$J,0)))</f>
        <v>31</v>
      </c>
      <c r="X64" s="227">
        <f t="shared" si="6"/>
        <v>0</v>
      </c>
      <c r="AB64" s="228" t="str">
        <f t="shared" si="7"/>
        <v>GoldAsahi Refining USA Inc.</v>
      </c>
    </row>
    <row r="65" spans="1:28" s="227" customFormat="1" ht="54">
      <c r="A65" s="301" t="s">
        <v>682</v>
      </c>
      <c r="B65" s="293" t="s">
        <v>1119</v>
      </c>
      <c r="C65" s="294" t="s">
        <v>2184</v>
      </c>
      <c r="D65" s="295" t="s">
        <v>2184</v>
      </c>
      <c r="E65" s="293" t="s">
        <v>2415</v>
      </c>
      <c r="F65" s="293" t="s">
        <v>682</v>
      </c>
      <c r="G65" s="293" t="s">
        <v>13217</v>
      </c>
      <c r="H65" s="296" t="s">
        <v>15855</v>
      </c>
      <c r="I65" s="297" t="s">
        <v>1591</v>
      </c>
      <c r="J65" s="297" t="s">
        <v>1592</v>
      </c>
      <c r="K65" s="298" t="s">
        <v>15855</v>
      </c>
      <c r="L65" s="298" t="s">
        <v>15855</v>
      </c>
      <c r="M65" s="298" t="s">
        <v>15855</v>
      </c>
      <c r="N65" s="298" t="s">
        <v>15855</v>
      </c>
      <c r="O65" s="298" t="s">
        <v>15858</v>
      </c>
      <c r="P65" s="299" t="s">
        <v>15857</v>
      </c>
      <c r="Q65" s="300" t="s">
        <v>15855</v>
      </c>
      <c r="R65" s="182" t="str">
        <f ca="1">IF(ISERROR($V65),"",OFFSET('Smelter Look-up'!$C$4,$V65-4,0)&amp;"")</f>
        <v>Asahi Refining USA Inc.</v>
      </c>
      <c r="S65" s="181" t="str">
        <f t="shared" ca="1" si="5"/>
        <v>US</v>
      </c>
      <c r="T65" s="181" t="str">
        <f ca="1">IF(B65="","",IF(ISERROR(MATCH($J65,SorP!$B$1:$B$6226,0)),"",INDIRECT("'SorP'!$A$"&amp;MATCH($S65&amp;$J65,SorP!C:C,0))))</f>
        <v>US-UT</v>
      </c>
      <c r="U65" s="201"/>
      <c r="V65" s="226">
        <f>IF(C65="",NA(),IF(OR(C65="Smelter not listed",C65="Smelter not yet identified"),MATCH($B65&amp;$D65,'Smelter Look-up'!$J:$J,0),MATCH($B65&amp;$C65,'Smelter Look-up'!$J:$J,0)))</f>
        <v>31</v>
      </c>
      <c r="X65" s="227">
        <f t="shared" si="6"/>
        <v>0</v>
      </c>
      <c r="AB65" s="228" t="str">
        <f t="shared" si="7"/>
        <v>GoldAsahi Refining USA Inc.</v>
      </c>
    </row>
    <row r="66" spans="1:28" s="227" customFormat="1" ht="54">
      <c r="A66" s="301" t="s">
        <v>682</v>
      </c>
      <c r="B66" s="293" t="s">
        <v>1119</v>
      </c>
      <c r="C66" s="294" t="s">
        <v>2184</v>
      </c>
      <c r="D66" s="295" t="s">
        <v>2184</v>
      </c>
      <c r="E66" s="293" t="s">
        <v>2415</v>
      </c>
      <c r="F66" s="293" t="s">
        <v>682</v>
      </c>
      <c r="G66" s="293" t="s">
        <v>13217</v>
      </c>
      <c r="H66" s="296" t="s">
        <v>15855</v>
      </c>
      <c r="I66" s="297" t="s">
        <v>1591</v>
      </c>
      <c r="J66" s="297" t="s">
        <v>1592</v>
      </c>
      <c r="K66" s="298" t="s">
        <v>15914</v>
      </c>
      <c r="L66" s="298" t="s">
        <v>15915</v>
      </c>
      <c r="M66" s="298" t="s">
        <v>15910</v>
      </c>
      <c r="N66" s="298" t="s">
        <v>15862</v>
      </c>
      <c r="O66" s="298" t="s">
        <v>15893</v>
      </c>
      <c r="P66" s="299" t="s">
        <v>15857</v>
      </c>
      <c r="Q66" s="300" t="s">
        <v>15855</v>
      </c>
      <c r="R66" s="182" t="str">
        <f ca="1">IF(ISERROR($V66),"",OFFSET('Smelter Look-up'!$C$4,$V66-4,0)&amp;"")</f>
        <v>Asahi Refining USA Inc.</v>
      </c>
      <c r="S66" s="181" t="str">
        <f t="shared" ca="1" si="5"/>
        <v>US</v>
      </c>
      <c r="T66" s="181" t="str">
        <f ca="1">IF(B66="","",IF(ISERROR(MATCH($J66,SorP!$B$1:$B$6226,0)),"",INDIRECT("'SorP'!$A$"&amp;MATCH($S66&amp;$J66,SorP!C:C,0))))</f>
        <v>US-UT</v>
      </c>
      <c r="U66" s="201"/>
      <c r="V66" s="226">
        <f>IF(C66="",NA(),IF(OR(C66="Smelter not listed",C66="Smelter not yet identified"),MATCH($B66&amp;$D66,'Smelter Look-up'!$J:$J,0),MATCH($B66&amp;$C66,'Smelter Look-up'!$J:$J,0)))</f>
        <v>31</v>
      </c>
      <c r="X66" s="227">
        <f t="shared" si="6"/>
        <v>0</v>
      </c>
      <c r="AB66" s="228" t="str">
        <f t="shared" si="7"/>
        <v>GoldAsahi Refining USA Inc.</v>
      </c>
    </row>
    <row r="67" spans="1:28" s="227" customFormat="1" ht="54">
      <c r="A67" s="301" t="s">
        <v>682</v>
      </c>
      <c r="B67" s="293" t="s">
        <v>1119</v>
      </c>
      <c r="C67" s="294" t="s">
        <v>2184</v>
      </c>
      <c r="D67" s="295" t="s">
        <v>2184</v>
      </c>
      <c r="E67" s="293" t="s">
        <v>2415</v>
      </c>
      <c r="F67" s="293" t="s">
        <v>682</v>
      </c>
      <c r="G67" s="293" t="s">
        <v>13217</v>
      </c>
      <c r="H67" s="302" t="s">
        <v>15880</v>
      </c>
      <c r="I67" s="297" t="s">
        <v>1591</v>
      </c>
      <c r="J67" s="297" t="s">
        <v>1592</v>
      </c>
      <c r="K67" s="298" t="s">
        <v>15855</v>
      </c>
      <c r="L67" s="298" t="s">
        <v>15855</v>
      </c>
      <c r="M67" s="298" t="s">
        <v>15855</v>
      </c>
      <c r="N67" s="298" t="s">
        <v>15855</v>
      </c>
      <c r="O67" s="298" t="s">
        <v>15855</v>
      </c>
      <c r="P67" s="299" t="s">
        <v>15857</v>
      </c>
      <c r="Q67" s="300" t="s">
        <v>15855</v>
      </c>
      <c r="R67" s="182" t="str">
        <f ca="1">IF(ISERROR($V67),"",OFFSET('Smelter Look-up'!$C$4,$V67-4,0)&amp;"")</f>
        <v>Asahi Refining USA Inc.</v>
      </c>
      <c r="S67" s="181" t="str">
        <f t="shared" ca="1" si="5"/>
        <v>US</v>
      </c>
      <c r="T67" s="181" t="str">
        <f ca="1">IF(B67="","",IF(ISERROR(MATCH($J67,SorP!$B$1:$B$6226,0)),"",INDIRECT("'SorP'!$A$"&amp;MATCH($S67&amp;$J67,SorP!C:C,0))))</f>
        <v>US-UT</v>
      </c>
      <c r="U67" s="201"/>
      <c r="V67" s="226">
        <f>IF(C67="",NA(),IF(OR(C67="Smelter not listed",C67="Smelter not yet identified"),MATCH($B67&amp;$D67,'Smelter Look-up'!$J:$J,0),MATCH($B67&amp;$C67,'Smelter Look-up'!$J:$J,0)))</f>
        <v>31</v>
      </c>
      <c r="X67" s="227">
        <f t="shared" si="6"/>
        <v>0</v>
      </c>
      <c r="AB67" s="228" t="str">
        <f t="shared" si="7"/>
        <v>GoldAsahi Refining USA Inc.</v>
      </c>
    </row>
    <row r="68" spans="1:28" s="227" customFormat="1" ht="54">
      <c r="A68" s="301" t="s">
        <v>682</v>
      </c>
      <c r="B68" s="293" t="s">
        <v>1119</v>
      </c>
      <c r="C68" s="294" t="s">
        <v>2129</v>
      </c>
      <c r="D68" s="295" t="s">
        <v>2184</v>
      </c>
      <c r="E68" s="293" t="s">
        <v>2415</v>
      </c>
      <c r="F68" s="293" t="s">
        <v>682</v>
      </c>
      <c r="G68" s="293" t="s">
        <v>15865</v>
      </c>
      <c r="H68" s="296" t="s">
        <v>15855</v>
      </c>
      <c r="I68" s="297" t="s">
        <v>1591</v>
      </c>
      <c r="J68" s="297" t="s">
        <v>1592</v>
      </c>
      <c r="K68" s="298" t="s">
        <v>15855</v>
      </c>
      <c r="L68" s="298" t="s">
        <v>15855</v>
      </c>
      <c r="M68" s="298" t="s">
        <v>15855</v>
      </c>
      <c r="N68" s="298" t="s">
        <v>15855</v>
      </c>
      <c r="O68" s="298" t="s">
        <v>15855</v>
      </c>
      <c r="P68" s="299" t="s">
        <v>15857</v>
      </c>
      <c r="Q68" s="300" t="s">
        <v>15855</v>
      </c>
      <c r="R68" s="182" t="str">
        <f ca="1">IF(ISERROR($V68),"",OFFSET('Smelter Look-up'!$C$4,$V68-4,0)&amp;"")</f>
        <v>Asahi Refining USA Inc.</v>
      </c>
      <c r="S68" s="181" t="str">
        <f t="shared" ca="1" si="5"/>
        <v>US</v>
      </c>
      <c r="T68" s="181" t="str">
        <f ca="1">IF(B68="","",IF(ISERROR(MATCH($J68,SorP!$B$1:$B$6226,0)),"",INDIRECT("'SorP'!$A$"&amp;MATCH($S68&amp;$J68,SorP!C:C,0))))</f>
        <v>US-UT</v>
      </c>
      <c r="U68" s="201"/>
      <c r="V68" s="226">
        <f>IF(C68="",NA(),IF(OR(C68="Smelter not listed",C68="Smelter not yet identified"),MATCH($B68&amp;$D68,'Smelter Look-up'!$J:$J,0),MATCH($B68&amp;$C68,'Smelter Look-up'!$J:$J,0)))</f>
        <v>135</v>
      </c>
      <c r="X68" s="227">
        <f t="shared" si="6"/>
        <v>0</v>
      </c>
      <c r="AB68" s="228" t="str">
        <f t="shared" si="7"/>
        <v>GoldJohnson Matthey Inc.</v>
      </c>
    </row>
    <row r="69" spans="1:28" s="227" customFormat="1" ht="54">
      <c r="A69" s="301" t="s">
        <v>682</v>
      </c>
      <c r="B69" s="293" t="s">
        <v>1119</v>
      </c>
      <c r="C69" s="294" t="s">
        <v>2129</v>
      </c>
      <c r="D69" s="295" t="s">
        <v>2184</v>
      </c>
      <c r="E69" s="293" t="s">
        <v>2415</v>
      </c>
      <c r="F69" s="293" t="s">
        <v>682</v>
      </c>
      <c r="G69" s="293" t="s">
        <v>13217</v>
      </c>
      <c r="H69" s="296" t="s">
        <v>15855</v>
      </c>
      <c r="I69" s="297" t="s">
        <v>1591</v>
      </c>
      <c r="J69" s="297" t="s">
        <v>1592</v>
      </c>
      <c r="K69" s="298" t="s">
        <v>15855</v>
      </c>
      <c r="L69" s="298" t="s">
        <v>15855</v>
      </c>
      <c r="M69" s="298" t="s">
        <v>15855</v>
      </c>
      <c r="N69" s="298" t="s">
        <v>15855</v>
      </c>
      <c r="O69" s="298" t="s">
        <v>15855</v>
      </c>
      <c r="P69" s="299" t="s">
        <v>15857</v>
      </c>
      <c r="Q69" s="300" t="s">
        <v>15855</v>
      </c>
      <c r="R69" s="182" t="str">
        <f ca="1">IF(ISERROR($V69),"",OFFSET('Smelter Look-up'!$C$4,$V69-4,0)&amp;"")</f>
        <v>Asahi Refining USA Inc.</v>
      </c>
      <c r="S69" s="181" t="str">
        <f t="shared" ref="S69" ca="1" si="8">IF(B69="","",IF(ISERROR(MATCH($E69,CL,0)),"Unknown",INDIRECT("'C'!$A$"&amp;MATCH($E69,CL,0)+1)))</f>
        <v>US</v>
      </c>
      <c r="T69" s="181" t="str">
        <f ca="1">IF(B69="","",IF(ISERROR(MATCH($J69,SorP!$B$1:$B$6226,0)),"",INDIRECT("'SorP'!$A$"&amp;MATCH($S69&amp;$J69,SorP!C:C,0))))</f>
        <v>US-UT</v>
      </c>
      <c r="U69" s="201"/>
      <c r="V69" s="226">
        <f>IF(C69="",NA(),IF(OR(C69="Smelter not listed",C69="Smelter not yet identified"),MATCH($B69&amp;$D69,'Smelter Look-up'!$J:$J,0),MATCH($B69&amp;$C69,'Smelter Look-up'!$J:$J,0)))</f>
        <v>135</v>
      </c>
      <c r="X69" s="227">
        <f t="shared" ref="X69" si="9">IF(AND(C69="Smelter not listed",OR(LEN(D69)=0,LEN(E69)=0)),1,0)</f>
        <v>0</v>
      </c>
      <c r="AB69" s="228" t="str">
        <f t="shared" ref="AB69" si="10">B69&amp;C69</f>
        <v>GoldJohnson Matthey Inc.</v>
      </c>
    </row>
    <row r="70" spans="1:28" s="227" customFormat="1" ht="40.5">
      <c r="A70" s="301" t="s">
        <v>652</v>
      </c>
      <c r="B70" s="293" t="s">
        <v>1119</v>
      </c>
      <c r="C70" s="294" t="s">
        <v>2125</v>
      </c>
      <c r="D70" s="295" t="s">
        <v>2125</v>
      </c>
      <c r="E70" s="293" t="s">
        <v>1098</v>
      </c>
      <c r="F70" s="293" t="s">
        <v>652</v>
      </c>
      <c r="G70" s="293" t="s">
        <v>13217</v>
      </c>
      <c r="H70" s="296" t="s">
        <v>15855</v>
      </c>
      <c r="I70" s="297" t="s">
        <v>1546</v>
      </c>
      <c r="J70" s="297" t="s">
        <v>1547</v>
      </c>
      <c r="K70" s="298" t="s">
        <v>15855</v>
      </c>
      <c r="L70" s="298" t="s">
        <v>15855</v>
      </c>
      <c r="M70" s="298" t="s">
        <v>15855</v>
      </c>
      <c r="N70" s="298" t="s">
        <v>15855</v>
      </c>
      <c r="O70" s="298" t="s">
        <v>15855</v>
      </c>
      <c r="P70" s="299" t="s">
        <v>15857</v>
      </c>
      <c r="Q70" s="300" t="s">
        <v>15855</v>
      </c>
      <c r="R70" s="182" t="str">
        <f ca="1">IF(ISERROR($V70),"",OFFSET('Smelter Look-up'!$C$4,$V70-4,0)&amp;"")</f>
        <v>Asaka Riken Co., Ltd.</v>
      </c>
      <c r="S70" s="181" t="str">
        <f t="shared" ref="S70:S101" ca="1" si="11">IF(B70="","",IF(ISERROR(MATCH($E70,CL,0)),"Unknown",INDIRECT("'C'!$A$"&amp;MATCH($E70,CL,0)+1)))</f>
        <v>JP</v>
      </c>
      <c r="T70" s="181" t="str">
        <f ca="1">IF(B70="","",IF(ISERROR(MATCH($J70,SorP!$B$1:$B$6226,0)),"",INDIRECT("'SorP'!$A$"&amp;MATCH($S70&amp;$J70,SorP!C:C,0))))</f>
        <v>JP-07</v>
      </c>
      <c r="U70" s="201"/>
      <c r="V70" s="226">
        <f>IF(C70="",NA(),IF(OR(C70="Smelter not listed",C70="Smelter not yet identified"),MATCH($B70&amp;$D70,'Smelter Look-up'!$J:$J,0),MATCH($B70&amp;$C70,'Smelter Look-up'!$J:$J,0)))</f>
        <v>32</v>
      </c>
      <c r="X70" s="227">
        <f t="shared" ref="X70:X101" si="12">IF(AND(C70="Smelter not listed",OR(LEN(D70)=0,LEN(E70)=0)),1,0)</f>
        <v>0</v>
      </c>
      <c r="AB70" s="228" t="str">
        <f t="shared" ref="AB70:AB101" si="13">B70&amp;C70</f>
        <v>GoldAsaka Riken Co., Ltd.</v>
      </c>
    </row>
    <row r="71" spans="1:28" s="227" customFormat="1" ht="40.5">
      <c r="A71" s="301" t="s">
        <v>652</v>
      </c>
      <c r="B71" s="293" t="s">
        <v>1119</v>
      </c>
      <c r="C71" s="294" t="s">
        <v>2125</v>
      </c>
      <c r="D71" s="295" t="s">
        <v>2125</v>
      </c>
      <c r="E71" s="293" t="s">
        <v>1098</v>
      </c>
      <c r="F71" s="293" t="s">
        <v>652</v>
      </c>
      <c r="G71" s="293" t="s">
        <v>13217</v>
      </c>
      <c r="H71" s="296" t="s">
        <v>15855</v>
      </c>
      <c r="I71" s="297" t="s">
        <v>1546</v>
      </c>
      <c r="J71" s="297" t="s">
        <v>1547</v>
      </c>
      <c r="K71" s="298" t="s">
        <v>15855</v>
      </c>
      <c r="L71" s="298" t="s">
        <v>15855</v>
      </c>
      <c r="M71" s="298" t="s">
        <v>15855</v>
      </c>
      <c r="N71" s="298" t="s">
        <v>15855</v>
      </c>
      <c r="O71" s="298" t="s">
        <v>15925</v>
      </c>
      <c r="P71" s="299" t="s">
        <v>15857</v>
      </c>
      <c r="Q71" s="300" t="s">
        <v>15855</v>
      </c>
      <c r="R71" s="182" t="str">
        <f ca="1">IF(ISERROR($V71),"",OFFSET('Smelter Look-up'!$C$4,$V71-4,0)&amp;"")</f>
        <v>Asaka Riken Co., Ltd.</v>
      </c>
      <c r="S71" s="181" t="str">
        <f t="shared" ca="1" si="11"/>
        <v>JP</v>
      </c>
      <c r="T71" s="181" t="str">
        <f ca="1">IF(B71="","",IF(ISERROR(MATCH($J71,SorP!$B$1:$B$6226,0)),"",INDIRECT("'SorP'!$A$"&amp;MATCH($S71&amp;$J71,SorP!C:C,0))))</f>
        <v>JP-07</v>
      </c>
      <c r="U71" s="201"/>
      <c r="V71" s="226">
        <f>IF(C71="",NA(),IF(OR(C71="Smelter not listed",C71="Smelter not yet identified"),MATCH($B71&amp;$D71,'Smelter Look-up'!$J:$J,0),MATCH($B71&amp;$C71,'Smelter Look-up'!$J:$J,0)))</f>
        <v>32</v>
      </c>
      <c r="X71" s="227">
        <f t="shared" si="12"/>
        <v>0</v>
      </c>
      <c r="AB71" s="228" t="str">
        <f t="shared" si="13"/>
        <v>GoldAsaka Riken Co., Ltd.</v>
      </c>
    </row>
    <row r="72" spans="1:28" s="227" customFormat="1" ht="40.5">
      <c r="A72" s="301" t="s">
        <v>652</v>
      </c>
      <c r="B72" s="293" t="s">
        <v>1119</v>
      </c>
      <c r="C72" s="294" t="s">
        <v>2125</v>
      </c>
      <c r="D72" s="295" t="s">
        <v>2125</v>
      </c>
      <c r="E72" s="293" t="s">
        <v>1098</v>
      </c>
      <c r="F72" s="293" t="s">
        <v>652</v>
      </c>
      <c r="G72" s="293" t="s">
        <v>13217</v>
      </c>
      <c r="H72" s="296" t="s">
        <v>15855</v>
      </c>
      <c r="I72" s="297" t="s">
        <v>1546</v>
      </c>
      <c r="J72" s="297" t="s">
        <v>1547</v>
      </c>
      <c r="K72" s="298" t="s">
        <v>15926</v>
      </c>
      <c r="L72" s="298" t="s">
        <v>15927</v>
      </c>
      <c r="M72" s="298" t="s">
        <v>15869</v>
      </c>
      <c r="N72" s="298" t="s">
        <v>15876</v>
      </c>
      <c r="O72" s="298" t="s">
        <v>15879</v>
      </c>
      <c r="P72" s="299" t="s">
        <v>15875</v>
      </c>
      <c r="Q72" s="300" t="s">
        <v>15855</v>
      </c>
      <c r="R72" s="182" t="str">
        <f ca="1">IF(ISERROR($V72),"",OFFSET('Smelter Look-up'!$C$4,$V72-4,0)&amp;"")</f>
        <v>Asaka Riken Co., Ltd.</v>
      </c>
      <c r="S72" s="181" t="str">
        <f t="shared" ca="1" si="11"/>
        <v>JP</v>
      </c>
      <c r="T72" s="181" t="str">
        <f ca="1">IF(B72="","",IF(ISERROR(MATCH($J72,SorP!$B$1:$B$6226,0)),"",INDIRECT("'SorP'!$A$"&amp;MATCH($S72&amp;$J72,SorP!C:C,0))))</f>
        <v>JP-07</v>
      </c>
      <c r="U72" s="201"/>
      <c r="V72" s="226">
        <f>IF(C72="",NA(),IF(OR(C72="Smelter not listed",C72="Smelter not yet identified"),MATCH($B72&amp;$D72,'Smelter Look-up'!$J:$J,0),MATCH($B72&amp;$C72,'Smelter Look-up'!$J:$J,0)))</f>
        <v>32</v>
      </c>
      <c r="X72" s="227">
        <f t="shared" si="12"/>
        <v>0</v>
      </c>
      <c r="AB72" s="228" t="str">
        <f t="shared" si="13"/>
        <v>GoldAsaka Riken Co., Ltd.</v>
      </c>
    </row>
    <row r="73" spans="1:28" s="227" customFormat="1" ht="40.5">
      <c r="A73" s="301" t="s">
        <v>652</v>
      </c>
      <c r="B73" s="293" t="s">
        <v>1119</v>
      </c>
      <c r="C73" s="294" t="s">
        <v>2125</v>
      </c>
      <c r="D73" s="295" t="s">
        <v>2125</v>
      </c>
      <c r="E73" s="293" t="s">
        <v>1098</v>
      </c>
      <c r="F73" s="293" t="s">
        <v>652</v>
      </c>
      <c r="G73" s="293" t="s">
        <v>13217</v>
      </c>
      <c r="H73" s="302" t="s">
        <v>15880</v>
      </c>
      <c r="I73" s="297" t="s">
        <v>1546</v>
      </c>
      <c r="J73" s="297" t="s">
        <v>1547</v>
      </c>
      <c r="K73" s="298" t="s">
        <v>15855</v>
      </c>
      <c r="L73" s="298" t="s">
        <v>15855</v>
      </c>
      <c r="M73" s="298" t="s">
        <v>15855</v>
      </c>
      <c r="N73" s="298" t="s">
        <v>15855</v>
      </c>
      <c r="O73" s="298" t="s">
        <v>15855</v>
      </c>
      <c r="P73" s="299" t="s">
        <v>15857</v>
      </c>
      <c r="Q73" s="300" t="s">
        <v>15855</v>
      </c>
      <c r="R73" s="182" t="str">
        <f ca="1">IF(ISERROR($V73),"",OFFSET('Smelter Look-up'!$C$4,$V73-4,0)&amp;"")</f>
        <v>Asaka Riken Co., Ltd.</v>
      </c>
      <c r="S73" s="181" t="str">
        <f t="shared" ca="1" si="11"/>
        <v>JP</v>
      </c>
      <c r="T73" s="181" t="str">
        <f ca="1">IF(B73="","",IF(ISERROR(MATCH($J73,SorP!$B$1:$B$6226,0)),"",INDIRECT("'SorP'!$A$"&amp;MATCH($S73&amp;$J73,SorP!C:C,0))))</f>
        <v>JP-07</v>
      </c>
      <c r="U73" s="201"/>
      <c r="V73" s="226">
        <f>IF(C73="",NA(),IF(OR(C73="Smelter not listed",C73="Smelter not yet identified"),MATCH($B73&amp;$D73,'Smelter Look-up'!$J:$J,0),MATCH($B73&amp;$C73,'Smelter Look-up'!$J:$J,0)))</f>
        <v>32</v>
      </c>
      <c r="X73" s="227">
        <f t="shared" si="12"/>
        <v>0</v>
      </c>
      <c r="AB73" s="228" t="str">
        <f t="shared" si="13"/>
        <v>GoldAsaka Riken Co., Ltd.</v>
      </c>
    </row>
    <row r="74" spans="1:28" s="227" customFormat="1" ht="40.5">
      <c r="A74" s="301" t="s">
        <v>652</v>
      </c>
      <c r="B74" s="293" t="s">
        <v>1119</v>
      </c>
      <c r="C74" s="294" t="s">
        <v>2125</v>
      </c>
      <c r="D74" s="295" t="s">
        <v>2125</v>
      </c>
      <c r="E74" s="293" t="s">
        <v>1098</v>
      </c>
      <c r="F74" s="293" t="s">
        <v>652</v>
      </c>
      <c r="G74" s="293" t="s">
        <v>13217</v>
      </c>
      <c r="H74" s="296" t="s">
        <v>15928</v>
      </c>
      <c r="I74" s="297" t="s">
        <v>1546</v>
      </c>
      <c r="J74" s="297" t="s">
        <v>1547</v>
      </c>
      <c r="K74" s="298" t="s">
        <v>15929</v>
      </c>
      <c r="L74" s="298" t="s">
        <v>15930</v>
      </c>
      <c r="M74" s="298" t="s">
        <v>15855</v>
      </c>
      <c r="N74" s="298" t="s">
        <v>15885</v>
      </c>
      <c r="O74" s="298" t="s">
        <v>15885</v>
      </c>
      <c r="P74" s="299" t="s">
        <v>15857</v>
      </c>
      <c r="Q74" s="300" t="s">
        <v>15886</v>
      </c>
      <c r="R74" s="182" t="str">
        <f ca="1">IF(ISERROR($V74),"",OFFSET('Smelter Look-up'!$C$4,$V74-4,0)&amp;"")</f>
        <v>Asaka Riken Co., Ltd.</v>
      </c>
      <c r="S74" s="181" t="str">
        <f t="shared" ca="1" si="11"/>
        <v>JP</v>
      </c>
      <c r="T74" s="181" t="str">
        <f ca="1">IF(B74="","",IF(ISERROR(MATCH($J74,SorP!$B$1:$B$6226,0)),"",INDIRECT("'SorP'!$A$"&amp;MATCH($S74&amp;$J74,SorP!C:C,0))))</f>
        <v>JP-07</v>
      </c>
      <c r="U74" s="201"/>
      <c r="V74" s="226">
        <f>IF(C74="",NA(),IF(OR(C74="Smelter not listed",C74="Smelter not yet identified"),MATCH($B74&amp;$D74,'Smelter Look-up'!$J:$J,0),MATCH($B74&amp;$C74,'Smelter Look-up'!$J:$J,0)))</f>
        <v>32</v>
      </c>
      <c r="X74" s="227">
        <f t="shared" si="12"/>
        <v>0</v>
      </c>
      <c r="AB74" s="228" t="str">
        <f t="shared" si="13"/>
        <v>GoldAsaka Riken Co., Ltd.</v>
      </c>
    </row>
    <row r="75" spans="1:28" s="227" customFormat="1" ht="27">
      <c r="A75" s="301" t="s">
        <v>653</v>
      </c>
      <c r="B75" s="293" t="s">
        <v>1119</v>
      </c>
      <c r="C75" s="294" t="s">
        <v>1212</v>
      </c>
      <c r="D75" s="295" t="s">
        <v>621</v>
      </c>
      <c r="E75" s="293" t="s">
        <v>879</v>
      </c>
      <c r="F75" s="293" t="s">
        <v>653</v>
      </c>
      <c r="G75" s="293" t="s">
        <v>13217</v>
      </c>
      <c r="H75" s="296" t="s">
        <v>15855</v>
      </c>
      <c r="I75" s="297" t="s">
        <v>1548</v>
      </c>
      <c r="J75" s="297" t="s">
        <v>11246</v>
      </c>
      <c r="K75" s="298" t="s">
        <v>15855</v>
      </c>
      <c r="L75" s="298" t="s">
        <v>15855</v>
      </c>
      <c r="M75" s="298" t="s">
        <v>15855</v>
      </c>
      <c r="N75" s="298" t="s">
        <v>15855</v>
      </c>
      <c r="O75" s="298" t="s">
        <v>15855</v>
      </c>
      <c r="P75" s="299" t="s">
        <v>15857</v>
      </c>
      <c r="Q75" s="300" t="s">
        <v>15855</v>
      </c>
      <c r="R75" s="182" t="str">
        <f ca="1">IF(ISERROR($V75),"",OFFSET('Smelter Look-up'!$C$4,$V75-4,0)&amp;"")</f>
        <v>Atasay Kuyumculuk Sanayi Ve Ticaret A.S.</v>
      </c>
      <c r="S75" s="181" t="str">
        <f t="shared" ca="1" si="11"/>
        <v>TR</v>
      </c>
      <c r="T75" s="181" t="str">
        <f ca="1">IF(B75="","",IF(ISERROR(MATCH($J75,SorP!$B$1:$B$6226,0)),"",INDIRECT("'SorP'!$A$"&amp;MATCH($S75&amp;$J75,SorP!C:C,0))))</f>
        <v>TR-34</v>
      </c>
      <c r="U75" s="201"/>
      <c r="V75" s="226">
        <f>IF(C75="",NA(),IF(OR(C75="Smelter not listed",C75="Smelter not yet identified"),MATCH($B75&amp;$D75,'Smelter Look-up'!$J:$J,0),MATCH($B75&amp;$C75,'Smelter Look-up'!$J:$J,0)))</f>
        <v>33</v>
      </c>
      <c r="X75" s="227">
        <f t="shared" si="12"/>
        <v>0</v>
      </c>
      <c r="AB75" s="228" t="str">
        <f t="shared" si="13"/>
        <v>GoldATAkulche</v>
      </c>
    </row>
    <row r="76" spans="1:28" s="227" customFormat="1" ht="108">
      <c r="A76" s="301" t="s">
        <v>653</v>
      </c>
      <c r="B76" s="293" t="s">
        <v>1119</v>
      </c>
      <c r="C76" s="294" t="s">
        <v>621</v>
      </c>
      <c r="D76" s="295" t="s">
        <v>621</v>
      </c>
      <c r="E76" s="293" t="s">
        <v>879</v>
      </c>
      <c r="F76" s="293" t="s">
        <v>653</v>
      </c>
      <c r="G76" s="293" t="s">
        <v>13217</v>
      </c>
      <c r="H76" s="296" t="s">
        <v>15855</v>
      </c>
      <c r="I76" s="297" t="s">
        <v>1548</v>
      </c>
      <c r="J76" s="297" t="s">
        <v>11246</v>
      </c>
      <c r="K76" s="298" t="s">
        <v>15855</v>
      </c>
      <c r="L76" s="298" t="s">
        <v>15855</v>
      </c>
      <c r="M76" s="298" t="s">
        <v>15855</v>
      </c>
      <c r="N76" s="298" t="s">
        <v>15855</v>
      </c>
      <c r="O76" s="298" t="s">
        <v>15858</v>
      </c>
      <c r="P76" s="299" t="s">
        <v>15857</v>
      </c>
      <c r="Q76" s="300" t="s">
        <v>15855</v>
      </c>
      <c r="R76" s="182" t="str">
        <f ca="1">IF(ISERROR($V76),"",OFFSET('Smelter Look-up'!$C$4,$V76-4,0)&amp;"")</f>
        <v>Atasay Kuyumculuk Sanayi Ve Ticaret A.S.</v>
      </c>
      <c r="S76" s="181" t="str">
        <f t="shared" ca="1" si="11"/>
        <v>TR</v>
      </c>
      <c r="T76" s="181" t="str">
        <f ca="1">IF(B76="","",IF(ISERROR(MATCH($J76,SorP!$B$1:$B$6226,0)),"",INDIRECT("'SorP'!$A$"&amp;MATCH($S76&amp;$J76,SorP!C:C,0))))</f>
        <v>TR-34</v>
      </c>
      <c r="U76" s="201"/>
      <c r="V76" s="226">
        <f>IF(C76="",NA(),IF(OR(C76="Smelter not listed",C76="Smelter not yet identified"),MATCH($B76&amp;$D76,'Smelter Look-up'!$J:$J,0),MATCH($B76&amp;$C76,'Smelter Look-up'!$J:$J,0)))</f>
        <v>34</v>
      </c>
      <c r="X76" s="227">
        <f t="shared" si="12"/>
        <v>0</v>
      </c>
      <c r="AB76" s="228" t="str">
        <f t="shared" si="13"/>
        <v>GoldAtasay Kuyumculuk Sanayi Ve Ticaret A.S.</v>
      </c>
    </row>
    <row r="77" spans="1:28" s="227" customFormat="1" ht="54">
      <c r="A77" s="301" t="s">
        <v>2271</v>
      </c>
      <c r="B77" s="293" t="s">
        <v>1119</v>
      </c>
      <c r="C77" s="294" t="s">
        <v>2270</v>
      </c>
      <c r="D77" s="295" t="s">
        <v>2270</v>
      </c>
      <c r="E77" s="293" t="s">
        <v>883</v>
      </c>
      <c r="F77" s="293" t="s">
        <v>2271</v>
      </c>
      <c r="G77" s="293" t="s">
        <v>13217</v>
      </c>
      <c r="H77" s="296" t="s">
        <v>15855</v>
      </c>
      <c r="I77" s="297" t="s">
        <v>2272</v>
      </c>
      <c r="J77" s="297" t="s">
        <v>1636</v>
      </c>
      <c r="K77" s="298" t="s">
        <v>15855</v>
      </c>
      <c r="L77" s="298" t="s">
        <v>15855</v>
      </c>
      <c r="M77" s="298" t="s">
        <v>15855</v>
      </c>
      <c r="N77" s="298" t="s">
        <v>15855</v>
      </c>
      <c r="O77" s="298" t="s">
        <v>15858</v>
      </c>
      <c r="P77" s="299" t="s">
        <v>15857</v>
      </c>
      <c r="Q77" s="300" t="s">
        <v>15855</v>
      </c>
      <c r="R77" s="182" t="str">
        <f ca="1">IF(ISERROR($V77),"",OFFSET('Smelter Look-up'!$C$4,$V77-4,0)&amp;"")</f>
        <v>AU Traders and Refiners</v>
      </c>
      <c r="S77" s="181" t="str">
        <f t="shared" ca="1" si="11"/>
        <v>ZA</v>
      </c>
      <c r="T77" s="181" t="str">
        <f ca="1">IF(B77="","",IF(ISERROR(MATCH($J77,SorP!$B$1:$B$6226,0)),"",INDIRECT("'SorP'!$A$"&amp;MATCH($S77&amp;$J77,SorP!C:C,0))))</f>
        <v>ZA-GP</v>
      </c>
      <c r="U77" s="201"/>
      <c r="V77" s="226">
        <f>IF(C77="",NA(),IF(OR(C77="Smelter not listed",C77="Smelter not yet identified"),MATCH($B77&amp;$D77,'Smelter Look-up'!$J:$J,0),MATCH($B77&amp;$C77,'Smelter Look-up'!$J:$J,0)))</f>
        <v>36</v>
      </c>
      <c r="X77" s="227">
        <f t="shared" si="12"/>
        <v>0</v>
      </c>
      <c r="AB77" s="228" t="str">
        <f t="shared" si="13"/>
        <v>GoldAU Traders and Refiners</v>
      </c>
    </row>
    <row r="78" spans="1:28" s="227" customFormat="1" ht="81">
      <c r="A78" s="301" t="s">
        <v>13833</v>
      </c>
      <c r="B78" s="293" t="s">
        <v>1119</v>
      </c>
      <c r="C78" s="294" t="s">
        <v>13811</v>
      </c>
      <c r="D78" s="295" t="s">
        <v>13811</v>
      </c>
      <c r="E78" s="293" t="s">
        <v>1096</v>
      </c>
      <c r="F78" s="293" t="s">
        <v>13833</v>
      </c>
      <c r="G78" s="293" t="s">
        <v>13217</v>
      </c>
      <c r="H78" s="296" t="s">
        <v>15855</v>
      </c>
      <c r="I78" s="297" t="s">
        <v>13847</v>
      </c>
      <c r="J78" s="297" t="s">
        <v>15410</v>
      </c>
      <c r="K78" s="298" t="s">
        <v>15855</v>
      </c>
      <c r="L78" s="298" t="s">
        <v>15855</v>
      </c>
      <c r="M78" s="298" t="s">
        <v>15855</v>
      </c>
      <c r="N78" s="298" t="s">
        <v>15855</v>
      </c>
      <c r="O78" s="298" t="s">
        <v>15858</v>
      </c>
      <c r="P78" s="299" t="s">
        <v>15857</v>
      </c>
      <c r="Q78" s="300" t="s">
        <v>15855</v>
      </c>
      <c r="R78" s="182" t="str">
        <f ca="1">IF(ISERROR($V78),"",OFFSET('Smelter Look-up'!$C$4,$V78-4,0)&amp;"")</f>
        <v>Augmont Enterprises Private Limited</v>
      </c>
      <c r="S78" s="181" t="str">
        <f t="shared" ca="1" si="11"/>
        <v>IN</v>
      </c>
      <c r="T78" s="181" t="str">
        <f ca="1">IF(B78="","",IF(ISERROR(MATCH($J78,SorP!$B$1:$B$6226,0)),"",INDIRECT("'SorP'!$A$"&amp;MATCH($S78&amp;$J78,SorP!C:C,0))))</f>
        <v>IN-MH</v>
      </c>
      <c r="U78" s="201"/>
      <c r="V78" s="226">
        <f>IF(C78="",NA(),IF(OR(C78="Smelter not listed",C78="Smelter not yet identified"),MATCH($B78&amp;$D78,'Smelter Look-up'!$J:$J,0),MATCH($B78&amp;$C78,'Smelter Look-up'!$J:$J,0)))</f>
        <v>37</v>
      </c>
      <c r="X78" s="227">
        <f t="shared" si="12"/>
        <v>0</v>
      </c>
      <c r="AB78" s="228" t="str">
        <f t="shared" si="13"/>
        <v>GoldAugmont Enterprises Private Limited</v>
      </c>
    </row>
    <row r="79" spans="1:28" s="227" customFormat="1" ht="27">
      <c r="A79" s="301" t="s">
        <v>654</v>
      </c>
      <c r="B79" s="293" t="s">
        <v>1119</v>
      </c>
      <c r="C79" s="294" t="s">
        <v>1213</v>
      </c>
      <c r="D79" s="295" t="s">
        <v>1213</v>
      </c>
      <c r="E79" s="293" t="s">
        <v>1091</v>
      </c>
      <c r="F79" s="293" t="s">
        <v>654</v>
      </c>
      <c r="G79" s="293" t="s">
        <v>13217</v>
      </c>
      <c r="H79" s="296" t="s">
        <v>15855</v>
      </c>
      <c r="I79" s="297" t="s">
        <v>1549</v>
      </c>
      <c r="J79" s="297" t="s">
        <v>1549</v>
      </c>
      <c r="K79" s="298" t="s">
        <v>15855</v>
      </c>
      <c r="L79" s="298" t="s">
        <v>15855</v>
      </c>
      <c r="M79" s="298" t="s">
        <v>15855</v>
      </c>
      <c r="N79" s="298" t="s">
        <v>15855</v>
      </c>
      <c r="O79" s="298" t="s">
        <v>15855</v>
      </c>
      <c r="P79" s="299" t="s">
        <v>15857</v>
      </c>
      <c r="Q79" s="300" t="s">
        <v>15855</v>
      </c>
      <c r="R79" s="182" t="str">
        <f ca="1">IF(ISERROR($V79),"",OFFSET('Smelter Look-up'!$C$4,$V79-4,0)&amp;"")</f>
        <v>Aurubis AG</v>
      </c>
      <c r="S79" s="181" t="str">
        <f t="shared" ca="1" si="11"/>
        <v>DE</v>
      </c>
      <c r="T79" s="181" t="str">
        <f ca="1">IF(B79="","",IF(ISERROR(MATCH($J79,SorP!$B$1:$B$6226,0)),"",INDIRECT("'SorP'!$A$"&amp;MATCH($S79&amp;$J79,SorP!C:C,0))))</f>
        <v>DE-HH</v>
      </c>
      <c r="U79" s="201"/>
      <c r="V79" s="226">
        <f>IF(C79="",NA(),IF(OR(C79="Smelter not listed",C79="Smelter not yet identified"),MATCH($B79&amp;$D79,'Smelter Look-up'!$J:$J,0),MATCH($B79&amp;$C79,'Smelter Look-up'!$J:$J,0)))</f>
        <v>38</v>
      </c>
      <c r="X79" s="227">
        <f t="shared" si="12"/>
        <v>0</v>
      </c>
      <c r="AB79" s="228" t="str">
        <f t="shared" si="13"/>
        <v>GoldAurubis AG</v>
      </c>
    </row>
    <row r="80" spans="1:28" s="227" customFormat="1" ht="27">
      <c r="A80" s="301" t="s">
        <v>654</v>
      </c>
      <c r="B80" s="293" t="s">
        <v>1119</v>
      </c>
      <c r="C80" s="294" t="s">
        <v>1213</v>
      </c>
      <c r="D80" s="295" t="s">
        <v>1213</v>
      </c>
      <c r="E80" s="293" t="s">
        <v>1091</v>
      </c>
      <c r="F80" s="293" t="s">
        <v>654</v>
      </c>
      <c r="G80" s="293" t="s">
        <v>13217</v>
      </c>
      <c r="H80" s="296" t="s">
        <v>15855</v>
      </c>
      <c r="I80" s="297" t="s">
        <v>1549</v>
      </c>
      <c r="J80" s="297" t="s">
        <v>1549</v>
      </c>
      <c r="K80" s="298" t="s">
        <v>15855</v>
      </c>
      <c r="L80" s="298" t="s">
        <v>15855</v>
      </c>
      <c r="M80" s="298" t="s">
        <v>15855</v>
      </c>
      <c r="N80" s="298" t="s">
        <v>15855</v>
      </c>
      <c r="O80" s="298" t="s">
        <v>15858</v>
      </c>
      <c r="P80" s="299" t="s">
        <v>15857</v>
      </c>
      <c r="Q80" s="300" t="s">
        <v>15855</v>
      </c>
      <c r="R80" s="182" t="str">
        <f ca="1">IF(ISERROR($V80),"",OFFSET('Smelter Look-up'!$C$4,$V80-4,0)&amp;"")</f>
        <v>Aurubis AG</v>
      </c>
      <c r="S80" s="181" t="str">
        <f t="shared" ca="1" si="11"/>
        <v>DE</v>
      </c>
      <c r="T80" s="181" t="str">
        <f ca="1">IF(B80="","",IF(ISERROR(MATCH($J80,SorP!$B$1:$B$6226,0)),"",INDIRECT("'SorP'!$A$"&amp;MATCH($S80&amp;$J80,SorP!C:C,0))))</f>
        <v>DE-HH</v>
      </c>
      <c r="U80" s="201"/>
      <c r="V80" s="226">
        <f>IF(C80="",NA(),IF(OR(C80="Smelter not listed",C80="Smelter not yet identified"),MATCH($B80&amp;$D80,'Smelter Look-up'!$J:$J,0),MATCH($B80&amp;$C80,'Smelter Look-up'!$J:$J,0)))</f>
        <v>38</v>
      </c>
      <c r="X80" s="227">
        <f t="shared" si="12"/>
        <v>0</v>
      </c>
      <c r="AB80" s="228" t="str">
        <f t="shared" si="13"/>
        <v>GoldAurubis AG</v>
      </c>
    </row>
    <row r="81" spans="1:28" s="227" customFormat="1" ht="27">
      <c r="A81" s="301" t="s">
        <v>654</v>
      </c>
      <c r="B81" s="293" t="s">
        <v>1119</v>
      </c>
      <c r="C81" s="294" t="s">
        <v>1213</v>
      </c>
      <c r="D81" s="295" t="s">
        <v>1213</v>
      </c>
      <c r="E81" s="293" t="s">
        <v>1091</v>
      </c>
      <c r="F81" s="293" t="s">
        <v>654</v>
      </c>
      <c r="G81" s="293" t="s">
        <v>13217</v>
      </c>
      <c r="H81" s="296" t="s">
        <v>15855</v>
      </c>
      <c r="I81" s="297" t="s">
        <v>1549</v>
      </c>
      <c r="J81" s="297" t="s">
        <v>1549</v>
      </c>
      <c r="K81" s="298" t="s">
        <v>15931</v>
      </c>
      <c r="L81" s="298" t="s">
        <v>15932</v>
      </c>
      <c r="M81" s="298" t="s">
        <v>15933</v>
      </c>
      <c r="N81" s="298" t="s">
        <v>15862</v>
      </c>
      <c r="O81" s="298" t="s">
        <v>15893</v>
      </c>
      <c r="P81" s="299" t="s">
        <v>15857</v>
      </c>
      <c r="Q81" s="300" t="s">
        <v>15855</v>
      </c>
      <c r="R81" s="182" t="str">
        <f ca="1">IF(ISERROR($V81),"",OFFSET('Smelter Look-up'!$C$4,$V81-4,0)&amp;"")</f>
        <v>Aurubis AG</v>
      </c>
      <c r="S81" s="181" t="str">
        <f t="shared" ca="1" si="11"/>
        <v>DE</v>
      </c>
      <c r="T81" s="181" t="str">
        <f ca="1">IF(B81="","",IF(ISERROR(MATCH($J81,SorP!$B$1:$B$6226,0)),"",INDIRECT("'SorP'!$A$"&amp;MATCH($S81&amp;$J81,SorP!C:C,0))))</f>
        <v>DE-HH</v>
      </c>
      <c r="U81" s="201"/>
      <c r="V81" s="226">
        <f>IF(C81="",NA(),IF(OR(C81="Smelter not listed",C81="Smelter not yet identified"),MATCH($B81&amp;$D81,'Smelter Look-up'!$J:$J,0),MATCH($B81&amp;$C81,'Smelter Look-up'!$J:$J,0)))</f>
        <v>38</v>
      </c>
      <c r="X81" s="227">
        <f t="shared" si="12"/>
        <v>0</v>
      </c>
      <c r="AB81" s="228" t="str">
        <f t="shared" si="13"/>
        <v>GoldAurubis AG</v>
      </c>
    </row>
    <row r="82" spans="1:28" s="227" customFormat="1" ht="40.5">
      <c r="A82" s="301" t="s">
        <v>2275</v>
      </c>
      <c r="B82" s="293" t="s">
        <v>1119</v>
      </c>
      <c r="C82" s="294" t="s">
        <v>2274</v>
      </c>
      <c r="D82" s="295" t="s">
        <v>2274</v>
      </c>
      <c r="E82" s="293" t="s">
        <v>1096</v>
      </c>
      <c r="F82" s="293" t="s">
        <v>2275</v>
      </c>
      <c r="G82" s="293" t="s">
        <v>13217</v>
      </c>
      <c r="H82" s="296" t="s">
        <v>15855</v>
      </c>
      <c r="I82" s="297" t="s">
        <v>2329</v>
      </c>
      <c r="J82" s="297" t="s">
        <v>15934</v>
      </c>
      <c r="K82" s="298" t="s">
        <v>15855</v>
      </c>
      <c r="L82" s="298" t="s">
        <v>15855</v>
      </c>
      <c r="M82" s="298" t="s">
        <v>15855</v>
      </c>
      <c r="N82" s="298" t="s">
        <v>15855</v>
      </c>
      <c r="O82" s="298" t="s">
        <v>15855</v>
      </c>
      <c r="P82" s="299" t="s">
        <v>15857</v>
      </c>
      <c r="Q82" s="300" t="s">
        <v>15855</v>
      </c>
      <c r="R82" s="182" t="str">
        <f ca="1">IF(ISERROR($V82),"",OFFSET('Smelter Look-up'!$C$4,$V82-4,0)&amp;"")</f>
        <v>Bangalore Refinery</v>
      </c>
      <c r="S82" s="181" t="str">
        <f t="shared" ca="1" si="11"/>
        <v>IN</v>
      </c>
      <c r="T82" s="181" t="str">
        <f ca="1">IF(B82="","",IF(ISERROR(MATCH($J82,SorP!$B$1:$B$6226,0)),"",INDIRECT("'SorP'!$A$"&amp;MATCH($S82&amp;$J82,SorP!C:C,0))))</f>
        <v/>
      </c>
      <c r="U82" s="201"/>
      <c r="V82" s="226">
        <f>IF(C82="",NA(),IF(OR(C82="Smelter not listed",C82="Smelter not yet identified"),MATCH($B82&amp;$D82,'Smelter Look-up'!$J:$J,0),MATCH($B82&amp;$C82,'Smelter Look-up'!$J:$J,0)))</f>
        <v>40</v>
      </c>
      <c r="X82" s="227">
        <f t="shared" si="12"/>
        <v>0</v>
      </c>
      <c r="AB82" s="228" t="str">
        <f t="shared" si="13"/>
        <v>GoldBangalore Refinery</v>
      </c>
    </row>
    <row r="83" spans="1:28" s="227" customFormat="1" ht="40.5">
      <c r="A83" s="301" t="s">
        <v>2275</v>
      </c>
      <c r="B83" s="293" t="s">
        <v>1119</v>
      </c>
      <c r="C83" s="294" t="s">
        <v>2274</v>
      </c>
      <c r="D83" s="295" t="s">
        <v>2274</v>
      </c>
      <c r="E83" s="293" t="s">
        <v>1096</v>
      </c>
      <c r="F83" s="293" t="s">
        <v>2275</v>
      </c>
      <c r="G83" s="293" t="s">
        <v>13217</v>
      </c>
      <c r="H83" s="296" t="s">
        <v>15855</v>
      </c>
      <c r="I83" s="297" t="s">
        <v>2329</v>
      </c>
      <c r="J83" s="297" t="s">
        <v>15934</v>
      </c>
      <c r="K83" s="298" t="s">
        <v>15935</v>
      </c>
      <c r="L83" s="298" t="s">
        <v>15936</v>
      </c>
      <c r="M83" s="298" t="s">
        <v>15869</v>
      </c>
      <c r="N83" s="298" t="s">
        <v>15870</v>
      </c>
      <c r="O83" s="298" t="s">
        <v>15871</v>
      </c>
      <c r="P83" s="299" t="s">
        <v>15857</v>
      </c>
      <c r="Q83" s="300" t="s">
        <v>15855</v>
      </c>
      <c r="R83" s="182" t="str">
        <f ca="1">IF(ISERROR($V83),"",OFFSET('Smelter Look-up'!$C$4,$V83-4,0)&amp;"")</f>
        <v>Bangalore Refinery</v>
      </c>
      <c r="S83" s="181" t="str">
        <f t="shared" ca="1" si="11"/>
        <v>IN</v>
      </c>
      <c r="T83" s="181" t="str">
        <f ca="1">IF(B83="","",IF(ISERROR(MATCH($J83,SorP!$B$1:$B$6226,0)),"",INDIRECT("'SorP'!$A$"&amp;MATCH($S83&amp;$J83,SorP!C:C,0))))</f>
        <v/>
      </c>
      <c r="U83" s="201"/>
      <c r="V83" s="226">
        <f>IF(C83="",NA(),IF(OR(C83="Smelter not listed",C83="Smelter not yet identified"),MATCH($B83&amp;$D83,'Smelter Look-up'!$J:$J,0),MATCH($B83&amp;$C83,'Smelter Look-up'!$J:$J,0)))</f>
        <v>40</v>
      </c>
      <c r="X83" s="227">
        <f t="shared" si="12"/>
        <v>0</v>
      </c>
      <c r="AB83" s="228" t="str">
        <f t="shared" si="13"/>
        <v>GoldBangalore Refinery</v>
      </c>
    </row>
    <row r="84" spans="1:28" s="227" customFormat="1" ht="40.5">
      <c r="A84" s="301" t="s">
        <v>2275</v>
      </c>
      <c r="B84" s="293" t="s">
        <v>1119</v>
      </c>
      <c r="C84" s="294" t="s">
        <v>2274</v>
      </c>
      <c r="D84" s="295" t="s">
        <v>2274</v>
      </c>
      <c r="E84" s="293" t="s">
        <v>1096</v>
      </c>
      <c r="F84" s="293" t="s">
        <v>2275</v>
      </c>
      <c r="G84" s="293" t="s">
        <v>13217</v>
      </c>
      <c r="H84" s="296" t="s">
        <v>15855</v>
      </c>
      <c r="I84" s="297" t="s">
        <v>2329</v>
      </c>
      <c r="J84" s="297" t="s">
        <v>15547</v>
      </c>
      <c r="K84" s="298" t="s">
        <v>15855</v>
      </c>
      <c r="L84" s="298" t="s">
        <v>15855</v>
      </c>
      <c r="M84" s="298" t="s">
        <v>15855</v>
      </c>
      <c r="N84" s="298" t="s">
        <v>15855</v>
      </c>
      <c r="O84" s="298" t="s">
        <v>15866</v>
      </c>
      <c r="P84" s="299" t="s">
        <v>15857</v>
      </c>
      <c r="Q84" s="300" t="s">
        <v>15855</v>
      </c>
      <c r="R84" s="182" t="str">
        <f ca="1">IF(ISERROR($V84),"",OFFSET('Smelter Look-up'!$C$4,$V84-4,0)&amp;"")</f>
        <v>Bangalore Refinery</v>
      </c>
      <c r="S84" s="181" t="str">
        <f t="shared" ca="1" si="11"/>
        <v>IN</v>
      </c>
      <c r="T84" s="181" t="str">
        <f ca="1">IF(B84="","",IF(ISERROR(MATCH($J84,SorP!$B$1:$B$6226,0)),"",INDIRECT("'SorP'!$A$"&amp;MATCH($S84&amp;$J84,SorP!C:C,0))))</f>
        <v>IN-KA</v>
      </c>
      <c r="U84" s="201"/>
      <c r="V84" s="226">
        <f>IF(C84="",NA(),IF(OR(C84="Smelter not listed",C84="Smelter not yet identified"),MATCH($B84&amp;$D84,'Smelter Look-up'!$J:$J,0),MATCH($B84&amp;$C84,'Smelter Look-up'!$J:$J,0)))</f>
        <v>40</v>
      </c>
      <c r="X84" s="227">
        <f t="shared" si="12"/>
        <v>0</v>
      </c>
      <c r="AB84" s="228" t="str">
        <f t="shared" si="13"/>
        <v>GoldBangalore Refinery</v>
      </c>
    </row>
    <row r="85" spans="1:28" s="227" customFormat="1" ht="135">
      <c r="A85" s="301" t="s">
        <v>655</v>
      </c>
      <c r="B85" s="293" t="s">
        <v>1119</v>
      </c>
      <c r="C85" s="294" t="s">
        <v>894</v>
      </c>
      <c r="D85" s="295" t="s">
        <v>894</v>
      </c>
      <c r="E85" s="293" t="s">
        <v>871</v>
      </c>
      <c r="F85" s="293" t="s">
        <v>655</v>
      </c>
      <c r="G85" s="293" t="s">
        <v>13217</v>
      </c>
      <c r="H85" s="296" t="s">
        <v>15855</v>
      </c>
      <c r="I85" s="297" t="s">
        <v>2185</v>
      </c>
      <c r="J85" s="297" t="s">
        <v>9425</v>
      </c>
      <c r="K85" s="298" t="s">
        <v>15855</v>
      </c>
      <c r="L85" s="298" t="s">
        <v>15855</v>
      </c>
      <c r="M85" s="298" t="s">
        <v>15855</v>
      </c>
      <c r="N85" s="298" t="s">
        <v>15855</v>
      </c>
      <c r="O85" s="298" t="s">
        <v>15855</v>
      </c>
      <c r="P85" s="299" t="s">
        <v>15857</v>
      </c>
      <c r="Q85" s="300" t="s">
        <v>15855</v>
      </c>
      <c r="R85" s="182" t="str">
        <f ca="1">IF(ISERROR($V85),"",OFFSET('Smelter Look-up'!$C$4,$V85-4,0)&amp;"")</f>
        <v>Bangko Sentral ng Pilipinas (Central Bank of the Philippines)</v>
      </c>
      <c r="S85" s="181" t="str">
        <f t="shared" ca="1" si="11"/>
        <v>PH</v>
      </c>
      <c r="T85" s="181" t="str">
        <f ca="1">IF(B85="","",IF(ISERROR(MATCH($J85,SorP!$B$1:$B$6226,0)),"",INDIRECT("'SorP'!$A$"&amp;MATCH($S85&amp;$J85,SorP!C:C,0))))</f>
        <v>PH-RIZ</v>
      </c>
      <c r="U85" s="201"/>
      <c r="V85" s="226">
        <f>IF(C85="",NA(),IF(OR(C85="Smelter not listed",C85="Smelter not yet identified"),MATCH($B85&amp;$D85,'Smelter Look-up'!$J:$J,0),MATCH($B85&amp;$C85,'Smelter Look-up'!$J:$J,0)))</f>
        <v>42</v>
      </c>
      <c r="X85" s="227">
        <f t="shared" si="12"/>
        <v>0</v>
      </c>
      <c r="AB85" s="228" t="str">
        <f t="shared" si="13"/>
        <v>GoldBangko Sentral ng Pilipinas (Central Bank of the Philippines)</v>
      </c>
    </row>
    <row r="86" spans="1:28" s="227" customFormat="1" ht="135">
      <c r="A86" s="301" t="s">
        <v>655</v>
      </c>
      <c r="B86" s="293" t="s">
        <v>1119</v>
      </c>
      <c r="C86" s="294" t="s">
        <v>894</v>
      </c>
      <c r="D86" s="295" t="s">
        <v>894</v>
      </c>
      <c r="E86" s="293" t="s">
        <v>871</v>
      </c>
      <c r="F86" s="293" t="s">
        <v>655</v>
      </c>
      <c r="G86" s="293" t="s">
        <v>13217</v>
      </c>
      <c r="H86" s="296" t="s">
        <v>15855</v>
      </c>
      <c r="I86" s="297" t="s">
        <v>2185</v>
      </c>
      <c r="J86" s="297" t="s">
        <v>9425</v>
      </c>
      <c r="K86" s="298" t="s">
        <v>15855</v>
      </c>
      <c r="L86" s="298" t="s">
        <v>15855</v>
      </c>
      <c r="M86" s="298" t="s">
        <v>15855</v>
      </c>
      <c r="N86" s="298" t="s">
        <v>15855</v>
      </c>
      <c r="O86" s="298" t="s">
        <v>15858</v>
      </c>
      <c r="P86" s="299" t="s">
        <v>15857</v>
      </c>
      <c r="Q86" s="300" t="s">
        <v>15855</v>
      </c>
      <c r="R86" s="182" t="str">
        <f ca="1">IF(ISERROR($V86),"",OFFSET('Smelter Look-up'!$C$4,$V86-4,0)&amp;"")</f>
        <v>Bangko Sentral ng Pilipinas (Central Bank of the Philippines)</v>
      </c>
      <c r="S86" s="181" t="str">
        <f t="shared" ca="1" si="11"/>
        <v>PH</v>
      </c>
      <c r="T86" s="181" t="str">
        <f ca="1">IF(B86="","",IF(ISERROR(MATCH($J86,SorP!$B$1:$B$6226,0)),"",INDIRECT("'SorP'!$A$"&amp;MATCH($S86&amp;$J86,SorP!C:C,0))))</f>
        <v>PH-RIZ</v>
      </c>
      <c r="U86" s="201"/>
      <c r="V86" s="226">
        <f>IF(C86="",NA(),IF(OR(C86="Smelter not listed",C86="Smelter not yet identified"),MATCH($B86&amp;$D86,'Smelter Look-up'!$J:$J,0),MATCH($B86&amp;$C86,'Smelter Look-up'!$J:$J,0)))</f>
        <v>42</v>
      </c>
      <c r="X86" s="227">
        <f t="shared" si="12"/>
        <v>0</v>
      </c>
      <c r="AB86" s="228" t="str">
        <f t="shared" si="13"/>
        <v>GoldBangko Sentral ng Pilipinas (Central Bank of the Philippines)</v>
      </c>
    </row>
    <row r="87" spans="1:28" s="227" customFormat="1" ht="135">
      <c r="A87" s="301" t="s">
        <v>655</v>
      </c>
      <c r="B87" s="293" t="s">
        <v>1119</v>
      </c>
      <c r="C87" s="294" t="s">
        <v>894</v>
      </c>
      <c r="D87" s="295" t="s">
        <v>894</v>
      </c>
      <c r="E87" s="293" t="s">
        <v>871</v>
      </c>
      <c r="F87" s="293" t="s">
        <v>655</v>
      </c>
      <c r="G87" s="293" t="s">
        <v>13217</v>
      </c>
      <c r="H87" s="296" t="s">
        <v>15855</v>
      </c>
      <c r="I87" s="297" t="s">
        <v>2185</v>
      </c>
      <c r="J87" s="297" t="s">
        <v>9425</v>
      </c>
      <c r="K87" s="298" t="s">
        <v>15937</v>
      </c>
      <c r="L87" s="298" t="s">
        <v>15938</v>
      </c>
      <c r="M87" s="298" t="s">
        <v>15892</v>
      </c>
      <c r="N87" s="298" t="s">
        <v>15862</v>
      </c>
      <c r="O87" s="298" t="s">
        <v>15893</v>
      </c>
      <c r="P87" s="299" t="s">
        <v>15857</v>
      </c>
      <c r="Q87" s="300" t="s">
        <v>15855</v>
      </c>
      <c r="R87" s="182" t="str">
        <f ca="1">IF(ISERROR($V87),"",OFFSET('Smelter Look-up'!$C$4,$V87-4,0)&amp;"")</f>
        <v>Bangko Sentral ng Pilipinas (Central Bank of the Philippines)</v>
      </c>
      <c r="S87" s="181" t="str">
        <f t="shared" ca="1" si="11"/>
        <v>PH</v>
      </c>
      <c r="T87" s="181" t="str">
        <f ca="1">IF(B87="","",IF(ISERROR(MATCH($J87,SorP!$B$1:$B$6226,0)),"",INDIRECT("'SorP'!$A$"&amp;MATCH($S87&amp;$J87,SorP!C:C,0))))</f>
        <v>PH-RIZ</v>
      </c>
      <c r="U87" s="201"/>
      <c r="V87" s="226">
        <f>IF(C87="",NA(),IF(OR(C87="Smelter not listed",C87="Smelter not yet identified"),MATCH($B87&amp;$D87,'Smelter Look-up'!$J:$J,0),MATCH($B87&amp;$C87,'Smelter Look-up'!$J:$J,0)))</f>
        <v>42</v>
      </c>
      <c r="X87" s="227">
        <f t="shared" si="12"/>
        <v>0</v>
      </c>
      <c r="AB87" s="228" t="str">
        <f t="shared" si="13"/>
        <v>GoldBangko Sentral ng Pilipinas (Central Bank of the Philippines)</v>
      </c>
    </row>
    <row r="88" spans="1:28" s="227" customFormat="1" ht="27">
      <c r="A88" s="301" t="s">
        <v>656</v>
      </c>
      <c r="B88" s="293" t="s">
        <v>1119</v>
      </c>
      <c r="C88" s="294" t="s">
        <v>15939</v>
      </c>
      <c r="D88" s="295" t="s">
        <v>15939</v>
      </c>
      <c r="E88" s="293" t="s">
        <v>877</v>
      </c>
      <c r="F88" s="293" t="s">
        <v>656</v>
      </c>
      <c r="G88" s="293" t="s">
        <v>13217</v>
      </c>
      <c r="H88" s="296" t="s">
        <v>15855</v>
      </c>
      <c r="I88" s="297" t="s">
        <v>1551</v>
      </c>
      <c r="J88" s="297" t="s">
        <v>10253</v>
      </c>
      <c r="K88" s="298" t="s">
        <v>15855</v>
      </c>
      <c r="L88" s="298" t="s">
        <v>15855</v>
      </c>
      <c r="M88" s="298" t="s">
        <v>15855</v>
      </c>
      <c r="N88" s="298" t="s">
        <v>15855</v>
      </c>
      <c r="O88" s="298" t="s">
        <v>15855</v>
      </c>
      <c r="P88" s="299" t="s">
        <v>15857</v>
      </c>
      <c r="Q88" s="300" t="s">
        <v>15855</v>
      </c>
      <c r="R88" s="182" t="str">
        <f ca="1">IF(ISERROR($V88),"",OFFSET('Smelter Look-up'!$C$4,$V88-4,0)&amp;"")</f>
        <v/>
      </c>
      <c r="S88" s="181" t="str">
        <f t="shared" ca="1" si="11"/>
        <v>SE</v>
      </c>
      <c r="T88" s="181" t="str">
        <f ca="1">IF(B88="","",IF(ISERROR(MATCH($J88,SorP!$B$1:$B$6226,0)),"",INDIRECT("'SorP'!$A$"&amp;MATCH($S88&amp;$J88,SorP!C:C,0))))</f>
        <v>SE-AC</v>
      </c>
      <c r="U88" s="201"/>
      <c r="V88" s="226" t="e">
        <f>IF(C88="",NA(),IF(OR(C88="Smelter not listed",C88="Smelter not yet identified"),MATCH($B88&amp;$D88,'Smelter Look-up'!$J:$J,0),MATCH($B88&amp;$C88,'Smelter Look-up'!$J:$J,0)))</f>
        <v>#N/A</v>
      </c>
      <c r="X88" s="227">
        <f t="shared" si="12"/>
        <v>0</v>
      </c>
      <c r="AB88" s="228" t="str">
        <f t="shared" si="13"/>
        <v>GoldBoliden AB</v>
      </c>
    </row>
    <row r="89" spans="1:28" s="227" customFormat="1" ht="27">
      <c r="A89" s="301" t="s">
        <v>656</v>
      </c>
      <c r="B89" s="293" t="s">
        <v>1119</v>
      </c>
      <c r="C89" s="294" t="s">
        <v>15939</v>
      </c>
      <c r="D89" s="295" t="s">
        <v>15939</v>
      </c>
      <c r="E89" s="293" t="s">
        <v>877</v>
      </c>
      <c r="F89" s="293" t="s">
        <v>656</v>
      </c>
      <c r="G89" s="293" t="s">
        <v>13217</v>
      </c>
      <c r="H89" s="296" t="s">
        <v>15855</v>
      </c>
      <c r="I89" s="297" t="s">
        <v>1551</v>
      </c>
      <c r="J89" s="297" t="s">
        <v>10253</v>
      </c>
      <c r="K89" s="298" t="s">
        <v>15940</v>
      </c>
      <c r="L89" s="298" t="s">
        <v>15941</v>
      </c>
      <c r="M89" s="298" t="s">
        <v>15892</v>
      </c>
      <c r="N89" s="298" t="s">
        <v>15862</v>
      </c>
      <c r="O89" s="298" t="s">
        <v>15893</v>
      </c>
      <c r="P89" s="299" t="s">
        <v>15857</v>
      </c>
      <c r="Q89" s="300" t="s">
        <v>15855</v>
      </c>
      <c r="R89" s="182" t="str">
        <f ca="1">IF(ISERROR($V89),"",OFFSET('Smelter Look-up'!$C$4,$V89-4,0)&amp;"")</f>
        <v/>
      </c>
      <c r="S89" s="181" t="str">
        <f t="shared" ca="1" si="11"/>
        <v>SE</v>
      </c>
      <c r="T89" s="181" t="str">
        <f ca="1">IF(B89="","",IF(ISERROR(MATCH($J89,SorP!$B$1:$B$6226,0)),"",INDIRECT("'SorP'!$A$"&amp;MATCH($S89&amp;$J89,SorP!C:C,0))))</f>
        <v>SE-AC</v>
      </c>
      <c r="U89" s="201"/>
      <c r="V89" s="226" t="e">
        <f>IF(C89="",NA(),IF(OR(C89="Smelter not listed",C89="Smelter not yet identified"),MATCH($B89&amp;$D89,'Smelter Look-up'!$J:$J,0),MATCH($B89&amp;$C89,'Smelter Look-up'!$J:$J,0)))</f>
        <v>#N/A</v>
      </c>
      <c r="X89" s="227">
        <f t="shared" si="12"/>
        <v>0</v>
      </c>
      <c r="AB89" s="228" t="str">
        <f t="shared" si="13"/>
        <v>GoldBoliden AB</v>
      </c>
    </row>
    <row r="90" spans="1:28" s="227" customFormat="1" ht="54">
      <c r="A90" s="301" t="s">
        <v>656</v>
      </c>
      <c r="B90" s="293" t="s">
        <v>1119</v>
      </c>
      <c r="C90" s="294" t="s">
        <v>15764</v>
      </c>
      <c r="D90" s="295" t="s">
        <v>15939</v>
      </c>
      <c r="E90" s="293" t="s">
        <v>877</v>
      </c>
      <c r="F90" s="293" t="s">
        <v>656</v>
      </c>
      <c r="G90" s="293" t="s">
        <v>13217</v>
      </c>
      <c r="H90" s="296" t="s">
        <v>15855</v>
      </c>
      <c r="I90" s="297" t="s">
        <v>1551</v>
      </c>
      <c r="J90" s="297" t="s">
        <v>10253</v>
      </c>
      <c r="K90" s="298" t="s">
        <v>15855</v>
      </c>
      <c r="L90" s="298" t="s">
        <v>15855</v>
      </c>
      <c r="M90" s="298" t="s">
        <v>15855</v>
      </c>
      <c r="N90" s="298" t="s">
        <v>15855</v>
      </c>
      <c r="O90" s="298" t="s">
        <v>15858</v>
      </c>
      <c r="P90" s="299" t="s">
        <v>15857</v>
      </c>
      <c r="Q90" s="300" t="s">
        <v>15855</v>
      </c>
      <c r="R90" s="182" t="str">
        <f ca="1">IF(ISERROR($V90),"",OFFSET('Smelter Look-up'!$C$4,$V90-4,0)&amp;"")</f>
        <v>Boliden Ronnskar</v>
      </c>
      <c r="S90" s="181" t="str">
        <f t="shared" ca="1" si="11"/>
        <v>SE</v>
      </c>
      <c r="T90" s="181" t="str">
        <f ca="1">IF(B90="","",IF(ISERROR(MATCH($J90,SorP!$B$1:$B$6226,0)),"",INDIRECT("'SorP'!$A$"&amp;MATCH($S90&amp;$J90,SorP!C:C,0))))</f>
        <v>SE-AC</v>
      </c>
      <c r="U90" s="201"/>
      <c r="V90" s="226">
        <f>IF(C90="",NA(),IF(OR(C90="Smelter not listed",C90="Smelter not yet identified"),MATCH($B90&amp;$D90,'Smelter Look-up'!$J:$J,0),MATCH($B90&amp;$C90,'Smelter Look-up'!$J:$J,0)))</f>
        <v>43</v>
      </c>
      <c r="X90" s="227">
        <f t="shared" si="12"/>
        <v>0</v>
      </c>
      <c r="AB90" s="228" t="str">
        <f t="shared" si="13"/>
        <v>GoldBoliden Ronnskar</v>
      </c>
    </row>
    <row r="91" spans="1:28" s="227" customFormat="1" ht="54">
      <c r="A91" s="301" t="s">
        <v>658</v>
      </c>
      <c r="B91" s="293" t="s">
        <v>1119</v>
      </c>
      <c r="C91" s="294" t="s">
        <v>657</v>
      </c>
      <c r="D91" s="295" t="s">
        <v>657</v>
      </c>
      <c r="E91" s="293" t="s">
        <v>1091</v>
      </c>
      <c r="F91" s="293" t="s">
        <v>658</v>
      </c>
      <c r="G91" s="293" t="s">
        <v>13217</v>
      </c>
      <c r="H91" s="296" t="s">
        <v>15855</v>
      </c>
      <c r="I91" s="297" t="s">
        <v>1535</v>
      </c>
      <c r="J91" s="297" t="s">
        <v>1536</v>
      </c>
      <c r="K91" s="298" t="s">
        <v>15855</v>
      </c>
      <c r="L91" s="298" t="s">
        <v>15855</v>
      </c>
      <c r="M91" s="298" t="s">
        <v>15855</v>
      </c>
      <c r="N91" s="298" t="s">
        <v>15855</v>
      </c>
      <c r="O91" s="298" t="s">
        <v>15855</v>
      </c>
      <c r="P91" s="299" t="s">
        <v>15857</v>
      </c>
      <c r="Q91" s="300" t="s">
        <v>15855</v>
      </c>
      <c r="R91" s="182" t="str">
        <f ca="1">IF(ISERROR($V91),"",OFFSET('Smelter Look-up'!$C$4,$V91-4,0)&amp;"")</f>
        <v>C. Hafner GmbH + Co. KG</v>
      </c>
      <c r="S91" s="181" t="str">
        <f t="shared" ca="1" si="11"/>
        <v>DE</v>
      </c>
      <c r="T91" s="181" t="str">
        <f ca="1">IF(B91="","",IF(ISERROR(MATCH($J91,SorP!$B$1:$B$6226,0)),"",INDIRECT("'SorP'!$A$"&amp;MATCH($S91&amp;$J91,SorP!C:C,0))))</f>
        <v>DE-BW</v>
      </c>
      <c r="U91" s="201"/>
      <c r="V91" s="226">
        <f>IF(C91="",NA(),IF(OR(C91="Smelter not listed",C91="Smelter not yet identified"),MATCH($B91&amp;$D91,'Smelter Look-up'!$J:$J,0),MATCH($B91&amp;$C91,'Smelter Look-up'!$J:$J,0)))</f>
        <v>44</v>
      </c>
      <c r="X91" s="227">
        <f t="shared" si="12"/>
        <v>0</v>
      </c>
      <c r="AB91" s="228" t="str">
        <f t="shared" si="13"/>
        <v>GoldC. Hafner GmbH + Co. KG</v>
      </c>
    </row>
    <row r="92" spans="1:28" s="227" customFormat="1" ht="54">
      <c r="A92" s="301" t="s">
        <v>658</v>
      </c>
      <c r="B92" s="293" t="s">
        <v>1119</v>
      </c>
      <c r="C92" s="294" t="s">
        <v>657</v>
      </c>
      <c r="D92" s="295" t="s">
        <v>657</v>
      </c>
      <c r="E92" s="293" t="s">
        <v>1091</v>
      </c>
      <c r="F92" s="293" t="s">
        <v>658</v>
      </c>
      <c r="G92" s="293" t="s">
        <v>13217</v>
      </c>
      <c r="H92" s="296" t="s">
        <v>15855</v>
      </c>
      <c r="I92" s="297" t="s">
        <v>1535</v>
      </c>
      <c r="J92" s="297" t="s">
        <v>1536</v>
      </c>
      <c r="K92" s="298" t="s">
        <v>15855</v>
      </c>
      <c r="L92" s="298" t="s">
        <v>15855</v>
      </c>
      <c r="M92" s="298" t="s">
        <v>15855</v>
      </c>
      <c r="N92" s="298" t="s">
        <v>15855</v>
      </c>
      <c r="O92" s="298" t="s">
        <v>15858</v>
      </c>
      <c r="P92" s="299" t="s">
        <v>15857</v>
      </c>
      <c r="Q92" s="300" t="s">
        <v>15855</v>
      </c>
      <c r="R92" s="182" t="str">
        <f ca="1">IF(ISERROR($V92),"",OFFSET('Smelter Look-up'!$C$4,$V92-4,0)&amp;"")</f>
        <v>C. Hafner GmbH + Co. KG</v>
      </c>
      <c r="S92" s="181" t="str">
        <f t="shared" ca="1" si="11"/>
        <v>DE</v>
      </c>
      <c r="T92" s="181" t="str">
        <f ca="1">IF(B92="","",IF(ISERROR(MATCH($J92,SorP!$B$1:$B$6226,0)),"",INDIRECT("'SorP'!$A$"&amp;MATCH($S92&amp;$J92,SorP!C:C,0))))</f>
        <v>DE-BW</v>
      </c>
      <c r="U92" s="201"/>
      <c r="V92" s="226">
        <f>IF(C92="",NA(),IF(OR(C92="Smelter not listed",C92="Smelter not yet identified"),MATCH($B92&amp;$D92,'Smelter Look-up'!$J:$J,0),MATCH($B92&amp;$C92,'Smelter Look-up'!$J:$J,0)))</f>
        <v>44</v>
      </c>
      <c r="X92" s="227">
        <f t="shared" si="12"/>
        <v>0</v>
      </c>
      <c r="AB92" s="228" t="str">
        <f t="shared" si="13"/>
        <v>GoldC. Hafner GmbH + Co. KG</v>
      </c>
    </row>
    <row r="93" spans="1:28" s="227" customFormat="1" ht="67.5">
      <c r="A93" s="301" t="s">
        <v>658</v>
      </c>
      <c r="B93" s="293" t="s">
        <v>1119</v>
      </c>
      <c r="C93" s="294" t="s">
        <v>657</v>
      </c>
      <c r="D93" s="295" t="s">
        <v>657</v>
      </c>
      <c r="E93" s="293" t="s">
        <v>1091</v>
      </c>
      <c r="F93" s="293" t="s">
        <v>658</v>
      </c>
      <c r="G93" s="293" t="s">
        <v>13217</v>
      </c>
      <c r="H93" s="296" t="s">
        <v>15855</v>
      </c>
      <c r="I93" s="297" t="s">
        <v>1535</v>
      </c>
      <c r="J93" s="297" t="s">
        <v>1536</v>
      </c>
      <c r="K93" s="298" t="s">
        <v>15942</v>
      </c>
      <c r="L93" s="298" t="s">
        <v>15943</v>
      </c>
      <c r="M93" s="298" t="s">
        <v>15944</v>
      </c>
      <c r="N93" s="298" t="s">
        <v>15862</v>
      </c>
      <c r="O93" s="298" t="s">
        <v>15901</v>
      </c>
      <c r="P93" s="299" t="s">
        <v>15857</v>
      </c>
      <c r="Q93" s="300" t="s">
        <v>15855</v>
      </c>
      <c r="R93" s="182" t="str">
        <f ca="1">IF(ISERROR($V93),"",OFFSET('Smelter Look-up'!$C$4,$V93-4,0)&amp;"")</f>
        <v>C. Hafner GmbH + Co. KG</v>
      </c>
      <c r="S93" s="181" t="str">
        <f t="shared" ca="1" si="11"/>
        <v>DE</v>
      </c>
      <c r="T93" s="181" t="str">
        <f ca="1">IF(B93="","",IF(ISERROR(MATCH($J93,SorP!$B$1:$B$6226,0)),"",INDIRECT("'SorP'!$A$"&amp;MATCH($S93&amp;$J93,SorP!C:C,0))))</f>
        <v>DE-BW</v>
      </c>
      <c r="U93" s="201"/>
      <c r="V93" s="226">
        <f>IF(C93="",NA(),IF(OR(C93="Smelter not listed",C93="Smelter not yet identified"),MATCH($B93&amp;$D93,'Smelter Look-up'!$J:$J,0),MATCH($B93&amp;$C93,'Smelter Look-up'!$J:$J,0)))</f>
        <v>44</v>
      </c>
      <c r="X93" s="227">
        <f t="shared" si="12"/>
        <v>0</v>
      </c>
      <c r="AB93" s="228" t="str">
        <f t="shared" si="13"/>
        <v>GoldC. Hafner GmbH + Co. KG</v>
      </c>
    </row>
    <row r="94" spans="1:28" s="227" customFormat="1" ht="54">
      <c r="A94" s="301" t="s">
        <v>658</v>
      </c>
      <c r="B94" s="293" t="s">
        <v>1119</v>
      </c>
      <c r="C94" s="294" t="s">
        <v>657</v>
      </c>
      <c r="D94" s="295" t="s">
        <v>657</v>
      </c>
      <c r="E94" s="293" t="s">
        <v>1091</v>
      </c>
      <c r="F94" s="293" t="s">
        <v>658</v>
      </c>
      <c r="G94" s="293" t="s">
        <v>13217</v>
      </c>
      <c r="H94" s="302" t="s">
        <v>15880</v>
      </c>
      <c r="I94" s="297" t="s">
        <v>1535</v>
      </c>
      <c r="J94" s="297" t="s">
        <v>1536</v>
      </c>
      <c r="K94" s="298" t="s">
        <v>15855</v>
      </c>
      <c r="L94" s="298" t="s">
        <v>15855</v>
      </c>
      <c r="M94" s="298" t="s">
        <v>15855</v>
      </c>
      <c r="N94" s="298" t="s">
        <v>15855</v>
      </c>
      <c r="O94" s="298" t="s">
        <v>15855</v>
      </c>
      <c r="P94" s="299" t="s">
        <v>15857</v>
      </c>
      <c r="Q94" s="300" t="s">
        <v>15855</v>
      </c>
      <c r="R94" s="182" t="str">
        <f ca="1">IF(ISERROR($V94),"",OFFSET('Smelter Look-up'!$C$4,$V94-4,0)&amp;"")</f>
        <v>C. Hafner GmbH + Co. KG</v>
      </c>
      <c r="S94" s="181" t="str">
        <f t="shared" ca="1" si="11"/>
        <v>DE</v>
      </c>
      <c r="T94" s="181" t="str">
        <f ca="1">IF(B94="","",IF(ISERROR(MATCH($J94,SorP!$B$1:$B$6226,0)),"",INDIRECT("'SorP'!$A$"&amp;MATCH($S94&amp;$J94,SorP!C:C,0))))</f>
        <v>DE-BW</v>
      </c>
      <c r="U94" s="201"/>
      <c r="V94" s="226">
        <f>IF(C94="",NA(),IF(OR(C94="Smelter not listed",C94="Smelter not yet identified"),MATCH($B94&amp;$D94,'Smelter Look-up'!$J:$J,0),MATCH($B94&amp;$C94,'Smelter Look-up'!$J:$J,0)))</f>
        <v>44</v>
      </c>
      <c r="X94" s="227">
        <f t="shared" si="12"/>
        <v>0</v>
      </c>
      <c r="AB94" s="228" t="str">
        <f t="shared" si="13"/>
        <v>GoldC. Hafner GmbH + Co. KG</v>
      </c>
    </row>
    <row r="95" spans="1:28" s="227" customFormat="1" ht="27">
      <c r="A95" s="301" t="s">
        <v>659</v>
      </c>
      <c r="B95" s="293" t="s">
        <v>1119</v>
      </c>
      <c r="C95" s="294" t="s">
        <v>895</v>
      </c>
      <c r="D95" s="295" t="s">
        <v>895</v>
      </c>
      <c r="E95" s="293" t="s">
        <v>1103</v>
      </c>
      <c r="F95" s="293" t="s">
        <v>659</v>
      </c>
      <c r="G95" s="293" t="s">
        <v>13217</v>
      </c>
      <c r="H95" s="296" t="s">
        <v>15855</v>
      </c>
      <c r="I95" s="297" t="s">
        <v>1552</v>
      </c>
      <c r="J95" s="297" t="s">
        <v>1553</v>
      </c>
      <c r="K95" s="298" t="s">
        <v>15855</v>
      </c>
      <c r="L95" s="298" t="s">
        <v>15855</v>
      </c>
      <c r="M95" s="298" t="s">
        <v>15855</v>
      </c>
      <c r="N95" s="298" t="s">
        <v>15855</v>
      </c>
      <c r="O95" s="298" t="s">
        <v>15858</v>
      </c>
      <c r="P95" s="299" t="s">
        <v>15857</v>
      </c>
      <c r="Q95" s="300" t="s">
        <v>15855</v>
      </c>
      <c r="R95" s="182" t="str">
        <f ca="1">IF(ISERROR($V95),"",OFFSET('Smelter Look-up'!$C$4,$V95-4,0)&amp;"")</f>
        <v>Caridad</v>
      </c>
      <c r="S95" s="181" t="str">
        <f t="shared" ca="1" si="11"/>
        <v>MX</v>
      </c>
      <c r="T95" s="181" t="str">
        <f ca="1">IF(B95="","",IF(ISERROR(MATCH($J95,SorP!$B$1:$B$6226,0)),"",INDIRECT("'SorP'!$A$"&amp;MATCH($S95&amp;$J95,SorP!C:C,0))))</f>
        <v>MX-SON</v>
      </c>
      <c r="U95" s="201"/>
      <c r="V95" s="226">
        <f>IF(C95="",NA(),IF(OR(C95="Smelter not listed",C95="Smelter not yet identified"),MATCH($B95&amp;$D95,'Smelter Look-up'!$J:$J,0),MATCH($B95&amp;$C95,'Smelter Look-up'!$J:$J,0)))</f>
        <v>45</v>
      </c>
      <c r="X95" s="227">
        <f t="shared" si="12"/>
        <v>0</v>
      </c>
      <c r="AB95" s="228" t="str">
        <f t="shared" si="13"/>
        <v>GoldCaridad</v>
      </c>
    </row>
    <row r="96" spans="1:28" s="227" customFormat="1" ht="94.5">
      <c r="A96" s="301" t="s">
        <v>660</v>
      </c>
      <c r="B96" s="293" t="s">
        <v>1119</v>
      </c>
      <c r="C96" s="294" t="s">
        <v>2223</v>
      </c>
      <c r="D96" s="295" t="s">
        <v>2223</v>
      </c>
      <c r="E96" s="293" t="s">
        <v>1087</v>
      </c>
      <c r="F96" s="293" t="s">
        <v>660</v>
      </c>
      <c r="G96" s="293" t="s">
        <v>13217</v>
      </c>
      <c r="H96" s="296" t="s">
        <v>15855</v>
      </c>
      <c r="I96" s="297" t="s">
        <v>1554</v>
      </c>
      <c r="J96" s="297" t="s">
        <v>1555</v>
      </c>
      <c r="K96" s="298" t="s">
        <v>15855</v>
      </c>
      <c r="L96" s="298" t="s">
        <v>15855</v>
      </c>
      <c r="M96" s="298" t="s">
        <v>15855</v>
      </c>
      <c r="N96" s="298" t="s">
        <v>15855</v>
      </c>
      <c r="O96" s="298" t="s">
        <v>15855</v>
      </c>
      <c r="P96" s="299" t="s">
        <v>15857</v>
      </c>
      <c r="Q96" s="300" t="s">
        <v>15855</v>
      </c>
      <c r="R96" s="182" t="str">
        <f ca="1">IF(ISERROR($V96),"",OFFSET('Smelter Look-up'!$C$4,$V96-4,0)&amp;"")</f>
        <v>CCR Refinery - Glencore Canada Corporation</v>
      </c>
      <c r="S96" s="181" t="str">
        <f t="shared" ca="1" si="11"/>
        <v>CA</v>
      </c>
      <c r="T96" s="181" t="str">
        <f ca="1">IF(B96="","",IF(ISERROR(MATCH($J96,SorP!$B$1:$B$6226,0)),"",INDIRECT("'SorP'!$A$"&amp;MATCH($S96&amp;$J96,SorP!C:C,0))))</f>
        <v>CA-QC</v>
      </c>
      <c r="U96" s="201"/>
      <c r="V96" s="226">
        <f>IF(C96="",NA(),IF(OR(C96="Smelter not listed",C96="Smelter not yet identified"),MATCH($B96&amp;$D96,'Smelter Look-up'!$J:$J,0),MATCH($B96&amp;$C96,'Smelter Look-up'!$J:$J,0)))</f>
        <v>47</v>
      </c>
      <c r="X96" s="227">
        <f t="shared" si="12"/>
        <v>0</v>
      </c>
      <c r="AB96" s="228" t="str">
        <f t="shared" si="13"/>
        <v>GoldCCR Refinery - Glencore Canada Corporation</v>
      </c>
    </row>
    <row r="97" spans="1:28" s="227" customFormat="1" ht="94.5">
      <c r="A97" s="301" t="s">
        <v>660</v>
      </c>
      <c r="B97" s="293" t="s">
        <v>1119</v>
      </c>
      <c r="C97" s="294" t="s">
        <v>2223</v>
      </c>
      <c r="D97" s="295" t="s">
        <v>2223</v>
      </c>
      <c r="E97" s="293" t="s">
        <v>1087</v>
      </c>
      <c r="F97" s="293" t="s">
        <v>660</v>
      </c>
      <c r="G97" s="293" t="s">
        <v>13217</v>
      </c>
      <c r="H97" s="296" t="s">
        <v>15855</v>
      </c>
      <c r="I97" s="297" t="s">
        <v>1554</v>
      </c>
      <c r="J97" s="297" t="s">
        <v>1555</v>
      </c>
      <c r="K97" s="298" t="s">
        <v>15855</v>
      </c>
      <c r="L97" s="298" t="s">
        <v>15855</v>
      </c>
      <c r="M97" s="298" t="s">
        <v>15855</v>
      </c>
      <c r="N97" s="298" t="s">
        <v>15855</v>
      </c>
      <c r="O97" s="298" t="s">
        <v>15858</v>
      </c>
      <c r="P97" s="299" t="s">
        <v>15857</v>
      </c>
      <c r="Q97" s="300" t="s">
        <v>15855</v>
      </c>
      <c r="R97" s="182" t="str">
        <f ca="1">IF(ISERROR($V97),"",OFFSET('Smelter Look-up'!$C$4,$V97-4,0)&amp;"")</f>
        <v>CCR Refinery - Glencore Canada Corporation</v>
      </c>
      <c r="S97" s="181" t="str">
        <f t="shared" ca="1" si="11"/>
        <v>CA</v>
      </c>
      <c r="T97" s="181" t="str">
        <f ca="1">IF(B97="","",IF(ISERROR(MATCH($J97,SorP!$B$1:$B$6226,0)),"",INDIRECT("'SorP'!$A$"&amp;MATCH($S97&amp;$J97,SorP!C:C,0))))</f>
        <v>CA-QC</v>
      </c>
      <c r="U97" s="201"/>
      <c r="V97" s="226">
        <f>IF(C97="",NA(),IF(OR(C97="Smelter not listed",C97="Smelter not yet identified"),MATCH($B97&amp;$D97,'Smelter Look-up'!$J:$J,0),MATCH($B97&amp;$C97,'Smelter Look-up'!$J:$J,0)))</f>
        <v>47</v>
      </c>
      <c r="X97" s="227">
        <f t="shared" si="12"/>
        <v>0</v>
      </c>
      <c r="AB97" s="228" t="str">
        <f t="shared" si="13"/>
        <v>GoldCCR Refinery - Glencore Canada Corporation</v>
      </c>
    </row>
    <row r="98" spans="1:28" s="227" customFormat="1" ht="94.5">
      <c r="A98" s="301" t="s">
        <v>660</v>
      </c>
      <c r="B98" s="293" t="s">
        <v>1119</v>
      </c>
      <c r="C98" s="294" t="s">
        <v>2223</v>
      </c>
      <c r="D98" s="295" t="s">
        <v>2223</v>
      </c>
      <c r="E98" s="293" t="s">
        <v>1087</v>
      </c>
      <c r="F98" s="293" t="s">
        <v>660</v>
      </c>
      <c r="G98" s="293" t="s">
        <v>13217</v>
      </c>
      <c r="H98" s="296" t="s">
        <v>15855</v>
      </c>
      <c r="I98" s="297" t="s">
        <v>1554</v>
      </c>
      <c r="J98" s="297" t="s">
        <v>1555</v>
      </c>
      <c r="K98" s="298" t="s">
        <v>15945</v>
      </c>
      <c r="L98" s="298" t="s">
        <v>15946</v>
      </c>
      <c r="M98" s="298" t="s">
        <v>15947</v>
      </c>
      <c r="N98" s="298" t="s">
        <v>15862</v>
      </c>
      <c r="O98" s="298" t="s">
        <v>15893</v>
      </c>
      <c r="P98" s="299" t="s">
        <v>15857</v>
      </c>
      <c r="Q98" s="300" t="s">
        <v>15855</v>
      </c>
      <c r="R98" s="182" t="str">
        <f ca="1">IF(ISERROR($V98),"",OFFSET('Smelter Look-up'!$C$4,$V98-4,0)&amp;"")</f>
        <v>CCR Refinery - Glencore Canada Corporation</v>
      </c>
      <c r="S98" s="181" t="str">
        <f t="shared" ca="1" si="11"/>
        <v>CA</v>
      </c>
      <c r="T98" s="181" t="str">
        <f ca="1">IF(B98="","",IF(ISERROR(MATCH($J98,SorP!$B$1:$B$6226,0)),"",INDIRECT("'SorP'!$A$"&amp;MATCH($S98&amp;$J98,SorP!C:C,0))))</f>
        <v>CA-QC</v>
      </c>
      <c r="U98" s="201"/>
      <c r="V98" s="226">
        <f>IF(C98="",NA(),IF(OR(C98="Smelter not listed",C98="Smelter not yet identified"),MATCH($B98&amp;$D98,'Smelter Look-up'!$J:$J,0),MATCH($B98&amp;$C98,'Smelter Look-up'!$J:$J,0)))</f>
        <v>47</v>
      </c>
      <c r="X98" s="227">
        <f t="shared" si="12"/>
        <v>0</v>
      </c>
      <c r="AB98" s="228" t="str">
        <f t="shared" si="13"/>
        <v>GoldCCR Refinery - Glencore Canada Corporation</v>
      </c>
    </row>
    <row r="99" spans="1:28" s="227" customFormat="1" ht="27">
      <c r="A99" s="301" t="s">
        <v>660</v>
      </c>
      <c r="B99" s="293" t="s">
        <v>1119</v>
      </c>
      <c r="C99" s="294" t="s">
        <v>1557</v>
      </c>
      <c r="D99" s="295" t="s">
        <v>2223</v>
      </c>
      <c r="E99" s="293" t="s">
        <v>1087</v>
      </c>
      <c r="F99" s="293" t="s">
        <v>660</v>
      </c>
      <c r="G99" s="293" t="s">
        <v>15864</v>
      </c>
      <c r="H99" s="296" t="s">
        <v>15855</v>
      </c>
      <c r="I99" s="297" t="s">
        <v>1554</v>
      </c>
      <c r="J99" s="297" t="s">
        <v>1555</v>
      </c>
      <c r="K99" s="298" t="s">
        <v>15855</v>
      </c>
      <c r="L99" s="298" t="s">
        <v>15855</v>
      </c>
      <c r="M99" s="298" t="s">
        <v>15855</v>
      </c>
      <c r="N99" s="298" t="s">
        <v>15855</v>
      </c>
      <c r="O99" s="298" t="s">
        <v>15855</v>
      </c>
      <c r="P99" s="299" t="s">
        <v>15857</v>
      </c>
      <c r="Q99" s="300" t="s">
        <v>15855</v>
      </c>
      <c r="R99" s="182" t="str">
        <f ca="1">IF(ISERROR($V99),"",OFFSET('Smelter Look-up'!$C$4,$V99-4,0)&amp;"")</f>
        <v>CCR Refinery - Glencore Canada Corporation</v>
      </c>
      <c r="S99" s="181" t="str">
        <f t="shared" ca="1" si="11"/>
        <v>CA</v>
      </c>
      <c r="T99" s="181" t="str">
        <f ca="1">IF(B99="","",IF(ISERROR(MATCH($J99,SorP!$B$1:$B$6226,0)),"",INDIRECT("'SorP'!$A$"&amp;MATCH($S99&amp;$J99,SorP!C:C,0))))</f>
        <v>CA-QC</v>
      </c>
      <c r="U99" s="201"/>
      <c r="V99" s="226">
        <f>IF(C99="",NA(),IF(OR(C99="Smelter not listed",C99="Smelter not yet identified"),MATCH($B99&amp;$D99,'Smelter Look-up'!$J:$J,0),MATCH($B99&amp;$C99,'Smelter Look-up'!$J:$J,0)))</f>
        <v>310</v>
      </c>
      <c r="X99" s="227">
        <f t="shared" si="12"/>
        <v>0</v>
      </c>
      <c r="AB99" s="228" t="str">
        <f t="shared" si="13"/>
        <v>GoldXstrata</v>
      </c>
    </row>
    <row r="100" spans="1:28" s="227" customFormat="1" ht="27">
      <c r="A100" s="301" t="s">
        <v>660</v>
      </c>
      <c r="B100" s="293" t="s">
        <v>1119</v>
      </c>
      <c r="C100" s="294" t="s">
        <v>1557</v>
      </c>
      <c r="D100" s="295" t="s">
        <v>2223</v>
      </c>
      <c r="E100" s="293" t="s">
        <v>1087</v>
      </c>
      <c r="F100" s="293" t="s">
        <v>660</v>
      </c>
      <c r="G100" s="293" t="s">
        <v>15864</v>
      </c>
      <c r="H100" s="302" t="s">
        <v>15880</v>
      </c>
      <c r="I100" s="297" t="s">
        <v>1554</v>
      </c>
      <c r="J100" s="297" t="s">
        <v>1555</v>
      </c>
      <c r="K100" s="298" t="s">
        <v>15855</v>
      </c>
      <c r="L100" s="298" t="s">
        <v>15855</v>
      </c>
      <c r="M100" s="298" t="s">
        <v>15855</v>
      </c>
      <c r="N100" s="298" t="s">
        <v>15855</v>
      </c>
      <c r="O100" s="298" t="s">
        <v>15855</v>
      </c>
      <c r="P100" s="299" t="s">
        <v>15857</v>
      </c>
      <c r="Q100" s="300" t="s">
        <v>15855</v>
      </c>
      <c r="R100" s="182" t="str">
        <f ca="1">IF(ISERROR($V100),"",OFFSET('Smelter Look-up'!$C$4,$V100-4,0)&amp;"")</f>
        <v>CCR Refinery - Glencore Canada Corporation</v>
      </c>
      <c r="S100" s="181" t="str">
        <f t="shared" ca="1" si="11"/>
        <v>CA</v>
      </c>
      <c r="T100" s="181" t="str">
        <f ca="1">IF(B100="","",IF(ISERROR(MATCH($J100,SorP!$B$1:$B$6226,0)),"",INDIRECT("'SorP'!$A$"&amp;MATCH($S100&amp;$J100,SorP!C:C,0))))</f>
        <v>CA-QC</v>
      </c>
      <c r="U100" s="201"/>
      <c r="V100" s="226">
        <f>IF(C100="",NA(),IF(OR(C100="Smelter not listed",C100="Smelter not yet identified"),MATCH($B100&amp;$D100,'Smelter Look-up'!$J:$J,0),MATCH($B100&amp;$C100,'Smelter Look-up'!$J:$J,0)))</f>
        <v>310</v>
      </c>
      <c r="X100" s="227">
        <f t="shared" si="12"/>
        <v>0</v>
      </c>
      <c r="AB100" s="228" t="str">
        <f t="shared" si="13"/>
        <v>GoldXstrata</v>
      </c>
    </row>
    <row r="101" spans="1:28" s="227" customFormat="1" ht="54">
      <c r="A101" s="301" t="s">
        <v>661</v>
      </c>
      <c r="B101" s="293" t="s">
        <v>1119</v>
      </c>
      <c r="C101" s="294" t="s">
        <v>2476</v>
      </c>
      <c r="D101" s="295" t="s">
        <v>2476</v>
      </c>
      <c r="E101" s="293" t="s">
        <v>1088</v>
      </c>
      <c r="F101" s="293" t="s">
        <v>661</v>
      </c>
      <c r="G101" s="293" t="s">
        <v>13217</v>
      </c>
      <c r="H101" s="296" t="s">
        <v>15855</v>
      </c>
      <c r="I101" s="297" t="s">
        <v>1558</v>
      </c>
      <c r="J101" s="297" t="s">
        <v>1559</v>
      </c>
      <c r="K101" s="298" t="s">
        <v>15855</v>
      </c>
      <c r="L101" s="298" t="s">
        <v>15855</v>
      </c>
      <c r="M101" s="298" t="s">
        <v>15855</v>
      </c>
      <c r="N101" s="298" t="s">
        <v>15855</v>
      </c>
      <c r="O101" s="298" t="s">
        <v>15855</v>
      </c>
      <c r="P101" s="299" t="s">
        <v>15857</v>
      </c>
      <c r="Q101" s="300" t="s">
        <v>15855</v>
      </c>
      <c r="R101" s="182" t="str">
        <f ca="1">IF(ISERROR($V101),"",OFFSET('Smelter Look-up'!$C$4,$V101-4,0)&amp;"")</f>
        <v>Cendres + Metaux S.A.</v>
      </c>
      <c r="S101" s="181" t="str">
        <f t="shared" ca="1" si="11"/>
        <v>CH</v>
      </c>
      <c r="T101" s="181" t="str">
        <f ca="1">IF(B101="","",IF(ISERROR(MATCH($J101,SorP!$B$1:$B$6226,0)),"",INDIRECT("'SorP'!$A$"&amp;MATCH($S101&amp;$J101,SorP!C:C,0))))</f>
        <v>CH-BE</v>
      </c>
      <c r="U101" s="201"/>
      <c r="V101" s="226">
        <f>IF(C101="",NA(),IF(OR(C101="Smelter not listed",C101="Smelter not yet identified"),MATCH($B101&amp;$D101,'Smelter Look-up'!$J:$J,0),MATCH($B101&amp;$C101,'Smelter Look-up'!$J:$J,0)))</f>
        <v>49</v>
      </c>
      <c r="X101" s="227">
        <f t="shared" si="12"/>
        <v>0</v>
      </c>
      <c r="AB101" s="228" t="str">
        <f t="shared" si="13"/>
        <v>GoldCendres + Metaux S.A.</v>
      </c>
    </row>
    <row r="102" spans="1:28" s="227" customFormat="1" ht="54">
      <c r="A102" s="301" t="s">
        <v>661</v>
      </c>
      <c r="B102" s="293" t="s">
        <v>1119</v>
      </c>
      <c r="C102" s="294" t="s">
        <v>2476</v>
      </c>
      <c r="D102" s="295" t="s">
        <v>2476</v>
      </c>
      <c r="E102" s="293" t="s">
        <v>1088</v>
      </c>
      <c r="F102" s="293" t="s">
        <v>661</v>
      </c>
      <c r="G102" s="293" t="s">
        <v>13217</v>
      </c>
      <c r="H102" s="296" t="s">
        <v>15855</v>
      </c>
      <c r="I102" s="297" t="s">
        <v>1558</v>
      </c>
      <c r="J102" s="297" t="s">
        <v>1559</v>
      </c>
      <c r="K102" s="298" t="s">
        <v>15855</v>
      </c>
      <c r="L102" s="298" t="s">
        <v>15855</v>
      </c>
      <c r="M102" s="298" t="s">
        <v>15855</v>
      </c>
      <c r="N102" s="298" t="s">
        <v>15855</v>
      </c>
      <c r="O102" s="298" t="s">
        <v>15858</v>
      </c>
      <c r="P102" s="299" t="s">
        <v>15857</v>
      </c>
      <c r="Q102" s="300" t="s">
        <v>15855</v>
      </c>
      <c r="R102" s="182" t="str">
        <f ca="1">IF(ISERROR($V102),"",OFFSET('Smelter Look-up'!$C$4,$V102-4,0)&amp;"")</f>
        <v>Cendres + Metaux S.A.</v>
      </c>
      <c r="S102" s="181" t="str">
        <f t="shared" ref="S102:S132" ca="1" si="14">IF(B102="","",IF(ISERROR(MATCH($E102,CL,0)),"Unknown",INDIRECT("'C'!$A$"&amp;MATCH($E102,CL,0)+1)))</f>
        <v>CH</v>
      </c>
      <c r="T102" s="181" t="str">
        <f ca="1">IF(B102="","",IF(ISERROR(MATCH($J102,SorP!$B$1:$B$6226,0)),"",INDIRECT("'SorP'!$A$"&amp;MATCH($S102&amp;$J102,SorP!C:C,0))))</f>
        <v>CH-BE</v>
      </c>
      <c r="U102" s="201"/>
      <c r="V102" s="226">
        <f>IF(C102="",NA(),IF(OR(C102="Smelter not listed",C102="Smelter not yet identified"),MATCH($B102&amp;$D102,'Smelter Look-up'!$J:$J,0),MATCH($B102&amp;$C102,'Smelter Look-up'!$J:$J,0)))</f>
        <v>49</v>
      </c>
      <c r="X102" s="227">
        <f t="shared" ref="X102:X132" si="15">IF(AND(C102="Smelter not listed",OR(LEN(D102)=0,LEN(E102)=0)),1,0)</f>
        <v>0</v>
      </c>
      <c r="AB102" s="228" t="str">
        <f t="shared" ref="AB102:AB132" si="16">B102&amp;C102</f>
        <v>GoldCendres + Metaux S.A.</v>
      </c>
    </row>
    <row r="103" spans="1:28" s="227" customFormat="1" ht="54">
      <c r="A103" s="301" t="s">
        <v>661</v>
      </c>
      <c r="B103" s="293" t="s">
        <v>1119</v>
      </c>
      <c r="C103" s="294" t="s">
        <v>2476</v>
      </c>
      <c r="D103" s="295" t="s">
        <v>2476</v>
      </c>
      <c r="E103" s="293" t="s">
        <v>1088</v>
      </c>
      <c r="F103" s="293" t="s">
        <v>661</v>
      </c>
      <c r="G103" s="293" t="s">
        <v>13217</v>
      </c>
      <c r="H103" s="296" t="s">
        <v>15855</v>
      </c>
      <c r="I103" s="297" t="s">
        <v>1558</v>
      </c>
      <c r="J103" s="297" t="s">
        <v>1559</v>
      </c>
      <c r="K103" s="298" t="s">
        <v>15948</v>
      </c>
      <c r="L103" s="298" t="s">
        <v>15949</v>
      </c>
      <c r="M103" s="298" t="s">
        <v>15950</v>
      </c>
      <c r="N103" s="298" t="s">
        <v>15862</v>
      </c>
      <c r="O103" s="298" t="s">
        <v>15863</v>
      </c>
      <c r="P103" s="299" t="s">
        <v>15857</v>
      </c>
      <c r="Q103" s="300" t="s">
        <v>15855</v>
      </c>
      <c r="R103" s="182" t="str">
        <f ca="1">IF(ISERROR($V103),"",OFFSET('Smelter Look-up'!$C$4,$V103-4,0)&amp;"")</f>
        <v>Cendres + Metaux S.A.</v>
      </c>
      <c r="S103" s="181" t="str">
        <f t="shared" ca="1" si="14"/>
        <v>CH</v>
      </c>
      <c r="T103" s="181" t="str">
        <f ca="1">IF(B103="","",IF(ISERROR(MATCH($J103,SorP!$B$1:$B$6226,0)),"",INDIRECT("'SorP'!$A$"&amp;MATCH($S103&amp;$J103,SorP!C:C,0))))</f>
        <v>CH-BE</v>
      </c>
      <c r="U103" s="201"/>
      <c r="V103" s="226">
        <f>IF(C103="",NA(),IF(OR(C103="Smelter not listed",C103="Smelter not yet identified"),MATCH($B103&amp;$D103,'Smelter Look-up'!$J:$J,0),MATCH($B103&amp;$C103,'Smelter Look-up'!$J:$J,0)))</f>
        <v>49</v>
      </c>
      <c r="X103" s="227">
        <f t="shared" si="15"/>
        <v>0</v>
      </c>
      <c r="AB103" s="228" t="str">
        <f t="shared" si="16"/>
        <v>GoldCendres + Metaux S.A.</v>
      </c>
    </row>
    <row r="104" spans="1:28" s="227" customFormat="1" ht="54">
      <c r="A104" s="301" t="s">
        <v>13762</v>
      </c>
      <c r="B104" s="293" t="s">
        <v>1119</v>
      </c>
      <c r="C104" s="294" t="s">
        <v>13761</v>
      </c>
      <c r="D104" s="295" t="s">
        <v>13761</v>
      </c>
      <c r="E104" s="293" t="s">
        <v>1096</v>
      </c>
      <c r="F104" s="293" t="s">
        <v>13762</v>
      </c>
      <c r="G104" s="293" t="s">
        <v>13217</v>
      </c>
      <c r="H104" s="296" t="s">
        <v>15855</v>
      </c>
      <c r="I104" s="297" t="s">
        <v>13808</v>
      </c>
      <c r="J104" s="297" t="s">
        <v>6165</v>
      </c>
      <c r="K104" s="298" t="s">
        <v>15855</v>
      </c>
      <c r="L104" s="298" t="s">
        <v>15855</v>
      </c>
      <c r="M104" s="298" t="s">
        <v>15855</v>
      </c>
      <c r="N104" s="298" t="s">
        <v>15855</v>
      </c>
      <c r="O104" s="298" t="s">
        <v>15858</v>
      </c>
      <c r="P104" s="299" t="s">
        <v>15857</v>
      </c>
      <c r="Q104" s="300" t="s">
        <v>15855</v>
      </c>
      <c r="R104" s="182" t="str">
        <f ca="1">IF(ISERROR($V104),"",OFFSET('Smelter Look-up'!$C$4,$V104-4,0)&amp;"")</f>
        <v>CGR Metalloys Pvt Ltd.</v>
      </c>
      <c r="S104" s="181" t="str">
        <f t="shared" ca="1" si="14"/>
        <v>IN</v>
      </c>
      <c r="T104" s="181" t="str">
        <f ca="1">IF(B104="","",IF(ISERROR(MATCH($J104,SorP!$B$1:$B$6226,0)),"",INDIRECT("'SorP'!$A$"&amp;MATCH($S104&amp;$J104,SorP!C:C,0))))</f>
        <v>IN-KL</v>
      </c>
      <c r="U104" s="201"/>
      <c r="V104" s="226">
        <f>IF(C104="",NA(),IF(OR(C104="Smelter not listed",C104="Smelter not yet identified"),MATCH($B104&amp;$D104,'Smelter Look-up'!$J:$J,0),MATCH($B104&amp;$C104,'Smelter Look-up'!$J:$J,0)))</f>
        <v>52</v>
      </c>
      <c r="X104" s="227">
        <f t="shared" si="15"/>
        <v>0</v>
      </c>
      <c r="AB104" s="228" t="str">
        <f t="shared" si="16"/>
        <v>GoldCGR Metalloys Pvt Ltd.</v>
      </c>
    </row>
    <row r="105" spans="1:28" s="227" customFormat="1" ht="40.5">
      <c r="A105" s="301" t="s">
        <v>662</v>
      </c>
      <c r="B105" s="293" t="s">
        <v>1119</v>
      </c>
      <c r="C105" s="294" t="s">
        <v>51</v>
      </c>
      <c r="D105" s="295" t="s">
        <v>51</v>
      </c>
      <c r="E105" s="293" t="s">
        <v>1097</v>
      </c>
      <c r="F105" s="293" t="s">
        <v>662</v>
      </c>
      <c r="G105" s="293" t="s">
        <v>13217</v>
      </c>
      <c r="H105" s="296" t="s">
        <v>15855</v>
      </c>
      <c r="I105" s="297" t="s">
        <v>1562</v>
      </c>
      <c r="J105" s="297" t="s">
        <v>6448</v>
      </c>
      <c r="K105" s="298" t="s">
        <v>15855</v>
      </c>
      <c r="L105" s="298" t="s">
        <v>15855</v>
      </c>
      <c r="M105" s="298" t="s">
        <v>15855</v>
      </c>
      <c r="N105" s="298" t="s">
        <v>15855</v>
      </c>
      <c r="O105" s="298" t="s">
        <v>15855</v>
      </c>
      <c r="P105" s="299" t="s">
        <v>15857</v>
      </c>
      <c r="Q105" s="300" t="s">
        <v>15855</v>
      </c>
      <c r="R105" s="182" t="str">
        <f ca="1">IF(ISERROR($V105),"",OFFSET('Smelter Look-up'!$C$4,$V105-4,0)&amp;"")</f>
        <v>Chimet S.p.A.</v>
      </c>
      <c r="S105" s="181" t="str">
        <f t="shared" ca="1" si="14"/>
        <v>IT</v>
      </c>
      <c r="T105" s="181" t="str">
        <f ca="1">IF(B105="","",IF(ISERROR(MATCH($J105,SorP!$B$1:$B$6226,0)),"",INDIRECT("'SorP'!$A$"&amp;MATCH($S105&amp;$J105,SorP!C:C,0))))</f>
        <v>IT-52</v>
      </c>
      <c r="U105" s="201"/>
      <c r="V105" s="226">
        <f>IF(C105="",NA(),IF(OR(C105="Smelter not listed",C105="Smelter not yet identified"),MATCH($B105&amp;$D105,'Smelter Look-up'!$J:$J,0),MATCH($B105&amp;$C105,'Smelter Look-up'!$J:$J,0)))</f>
        <v>57</v>
      </c>
      <c r="X105" s="227">
        <f t="shared" si="15"/>
        <v>0</v>
      </c>
      <c r="AB105" s="228" t="str">
        <f t="shared" si="16"/>
        <v>GoldChimet S.p.A.</v>
      </c>
    </row>
    <row r="106" spans="1:28" s="227" customFormat="1" ht="40.5">
      <c r="A106" s="301" t="s">
        <v>662</v>
      </c>
      <c r="B106" s="293" t="s">
        <v>1119</v>
      </c>
      <c r="C106" s="294" t="s">
        <v>51</v>
      </c>
      <c r="D106" s="295" t="s">
        <v>51</v>
      </c>
      <c r="E106" s="293" t="s">
        <v>1097</v>
      </c>
      <c r="F106" s="293" t="s">
        <v>662</v>
      </c>
      <c r="G106" s="293" t="s">
        <v>13217</v>
      </c>
      <c r="H106" s="296" t="s">
        <v>15855</v>
      </c>
      <c r="I106" s="297" t="s">
        <v>1562</v>
      </c>
      <c r="J106" s="297" t="s">
        <v>6448</v>
      </c>
      <c r="K106" s="298" t="s">
        <v>15855</v>
      </c>
      <c r="L106" s="298" t="s">
        <v>15855</v>
      </c>
      <c r="M106" s="298" t="s">
        <v>15855</v>
      </c>
      <c r="N106" s="298" t="s">
        <v>15855</v>
      </c>
      <c r="O106" s="298" t="s">
        <v>15858</v>
      </c>
      <c r="P106" s="299" t="s">
        <v>15857</v>
      </c>
      <c r="Q106" s="300" t="s">
        <v>15855</v>
      </c>
      <c r="R106" s="182" t="str">
        <f ca="1">IF(ISERROR($V106),"",OFFSET('Smelter Look-up'!$C$4,$V106-4,0)&amp;"")</f>
        <v>Chimet S.p.A.</v>
      </c>
      <c r="S106" s="181" t="str">
        <f t="shared" ca="1" si="14"/>
        <v>IT</v>
      </c>
      <c r="T106" s="181" t="str">
        <f ca="1">IF(B106="","",IF(ISERROR(MATCH($J106,SorP!$B$1:$B$6226,0)),"",INDIRECT("'SorP'!$A$"&amp;MATCH($S106&amp;$J106,SorP!C:C,0))))</f>
        <v>IT-52</v>
      </c>
      <c r="U106" s="201"/>
      <c r="V106" s="226">
        <f>IF(C106="",NA(),IF(OR(C106="Smelter not listed",C106="Smelter not yet identified"),MATCH($B106&amp;$D106,'Smelter Look-up'!$J:$J,0),MATCH($B106&amp;$C106,'Smelter Look-up'!$J:$J,0)))</f>
        <v>57</v>
      </c>
      <c r="X106" s="227">
        <f t="shared" si="15"/>
        <v>0</v>
      </c>
      <c r="AB106" s="228" t="str">
        <f t="shared" si="16"/>
        <v>GoldChimet S.p.A.</v>
      </c>
    </row>
    <row r="107" spans="1:28" s="227" customFormat="1" ht="40.5">
      <c r="A107" s="301" t="s">
        <v>662</v>
      </c>
      <c r="B107" s="293" t="s">
        <v>1119</v>
      </c>
      <c r="C107" s="294" t="s">
        <v>51</v>
      </c>
      <c r="D107" s="295" t="s">
        <v>51</v>
      </c>
      <c r="E107" s="293" t="s">
        <v>1097</v>
      </c>
      <c r="F107" s="293" t="s">
        <v>662</v>
      </c>
      <c r="G107" s="293" t="s">
        <v>13217</v>
      </c>
      <c r="H107" s="296" t="s">
        <v>15855</v>
      </c>
      <c r="I107" s="297" t="s">
        <v>1562</v>
      </c>
      <c r="J107" s="297" t="s">
        <v>6448</v>
      </c>
      <c r="K107" s="298" t="s">
        <v>15951</v>
      </c>
      <c r="L107" s="298" t="s">
        <v>15952</v>
      </c>
      <c r="M107" s="298" t="s">
        <v>15953</v>
      </c>
      <c r="N107" s="298" t="s">
        <v>15862</v>
      </c>
      <c r="O107" s="298" t="s">
        <v>15893</v>
      </c>
      <c r="P107" s="299" t="s">
        <v>15857</v>
      </c>
      <c r="Q107" s="300" t="s">
        <v>15855</v>
      </c>
      <c r="R107" s="182" t="str">
        <f ca="1">IF(ISERROR($V107),"",OFFSET('Smelter Look-up'!$C$4,$V107-4,0)&amp;"")</f>
        <v>Chimet S.p.A.</v>
      </c>
      <c r="S107" s="181" t="str">
        <f t="shared" ca="1" si="14"/>
        <v>IT</v>
      </c>
      <c r="T107" s="181" t="str">
        <f ca="1">IF(B107="","",IF(ISERROR(MATCH($J107,SorP!$B$1:$B$6226,0)),"",INDIRECT("'SorP'!$A$"&amp;MATCH($S107&amp;$J107,SorP!C:C,0))))</f>
        <v>IT-52</v>
      </c>
      <c r="U107" s="201"/>
      <c r="V107" s="226">
        <f>IF(C107="",NA(),IF(OR(C107="Smelter not listed",C107="Smelter not yet identified"),MATCH($B107&amp;$D107,'Smelter Look-up'!$J:$J,0),MATCH($B107&amp;$C107,'Smelter Look-up'!$J:$J,0)))</f>
        <v>57</v>
      </c>
      <c r="X107" s="227">
        <f t="shared" si="15"/>
        <v>0</v>
      </c>
      <c r="AB107" s="228" t="str">
        <f t="shared" si="16"/>
        <v>GoldChimet S.p.A.</v>
      </c>
    </row>
    <row r="108" spans="1:28" s="227" customFormat="1" ht="40.5">
      <c r="A108" s="301" t="s">
        <v>663</v>
      </c>
      <c r="B108" s="293" t="s">
        <v>1119</v>
      </c>
      <c r="C108" s="294" t="s">
        <v>535</v>
      </c>
      <c r="D108" s="295" t="s">
        <v>535</v>
      </c>
      <c r="E108" s="293" t="s">
        <v>1098</v>
      </c>
      <c r="F108" s="293" t="s">
        <v>663</v>
      </c>
      <c r="G108" s="293" t="s">
        <v>13217</v>
      </c>
      <c r="H108" s="296" t="s">
        <v>15855</v>
      </c>
      <c r="I108" s="297" t="s">
        <v>1563</v>
      </c>
      <c r="J108" s="297" t="s">
        <v>1534</v>
      </c>
      <c r="K108" s="298" t="s">
        <v>15855</v>
      </c>
      <c r="L108" s="298" t="s">
        <v>15855</v>
      </c>
      <c r="M108" s="298" t="s">
        <v>15855</v>
      </c>
      <c r="N108" s="298" t="s">
        <v>15855</v>
      </c>
      <c r="O108" s="298" t="s">
        <v>15855</v>
      </c>
      <c r="P108" s="299" t="s">
        <v>15857</v>
      </c>
      <c r="Q108" s="300" t="s">
        <v>15855</v>
      </c>
      <c r="R108" s="182" t="str">
        <f ca="1">IF(ISERROR($V108),"",OFFSET('Smelter Look-up'!$C$4,$V108-4,0)&amp;"")</f>
        <v>Chugai Mining</v>
      </c>
      <c r="S108" s="181" t="str">
        <f t="shared" ca="1" si="14"/>
        <v>JP</v>
      </c>
      <c r="T108" s="181" t="str">
        <f ca="1">IF(B108="","",IF(ISERROR(MATCH($J108,SorP!$B$1:$B$6226,0)),"",INDIRECT("'SorP'!$A$"&amp;MATCH($S108&amp;$J108,SorP!C:C,0))))</f>
        <v>JP-13</v>
      </c>
      <c r="U108" s="201"/>
      <c r="V108" s="226">
        <f>IF(C108="",NA(),IF(OR(C108="Smelter not listed",C108="Smelter not yet identified"),MATCH($B108&amp;$D108,'Smelter Look-up'!$J:$J,0),MATCH($B108&amp;$C108,'Smelter Look-up'!$J:$J,0)))</f>
        <v>60</v>
      </c>
      <c r="X108" s="227">
        <f t="shared" si="15"/>
        <v>0</v>
      </c>
      <c r="AB108" s="228" t="str">
        <f t="shared" si="16"/>
        <v>GoldChugai Mining</v>
      </c>
    </row>
    <row r="109" spans="1:28" s="227" customFormat="1" ht="40.5">
      <c r="A109" s="301" t="s">
        <v>663</v>
      </c>
      <c r="B109" s="293" t="s">
        <v>1119</v>
      </c>
      <c r="C109" s="294" t="s">
        <v>535</v>
      </c>
      <c r="D109" s="295" t="s">
        <v>535</v>
      </c>
      <c r="E109" s="293" t="s">
        <v>1098</v>
      </c>
      <c r="F109" s="293" t="s">
        <v>663</v>
      </c>
      <c r="G109" s="293" t="s">
        <v>13217</v>
      </c>
      <c r="H109" s="296" t="s">
        <v>15855</v>
      </c>
      <c r="I109" s="297" t="s">
        <v>1563</v>
      </c>
      <c r="J109" s="297" t="s">
        <v>1534</v>
      </c>
      <c r="K109" s="298" t="s">
        <v>15855</v>
      </c>
      <c r="L109" s="298" t="s">
        <v>15855</v>
      </c>
      <c r="M109" s="298" t="s">
        <v>15855</v>
      </c>
      <c r="N109" s="298" t="s">
        <v>15855</v>
      </c>
      <c r="O109" s="298" t="s">
        <v>15866</v>
      </c>
      <c r="P109" s="299" t="s">
        <v>15857</v>
      </c>
      <c r="Q109" s="300" t="s">
        <v>15855</v>
      </c>
      <c r="R109" s="182" t="str">
        <f ca="1">IF(ISERROR($V109),"",OFFSET('Smelter Look-up'!$C$4,$V109-4,0)&amp;"")</f>
        <v>Chugai Mining</v>
      </c>
      <c r="S109" s="181" t="str">
        <f t="shared" ca="1" si="14"/>
        <v>JP</v>
      </c>
      <c r="T109" s="181" t="str">
        <f ca="1">IF(B109="","",IF(ISERROR(MATCH($J109,SorP!$B$1:$B$6226,0)),"",INDIRECT("'SorP'!$A$"&amp;MATCH($S109&amp;$J109,SorP!C:C,0))))</f>
        <v>JP-13</v>
      </c>
      <c r="U109" s="201"/>
      <c r="V109" s="226">
        <f>IF(C109="",NA(),IF(OR(C109="Smelter not listed",C109="Smelter not yet identified"),MATCH($B109&amp;$D109,'Smelter Look-up'!$J:$J,0),MATCH($B109&amp;$C109,'Smelter Look-up'!$J:$J,0)))</f>
        <v>60</v>
      </c>
      <c r="X109" s="227">
        <f t="shared" si="15"/>
        <v>0</v>
      </c>
      <c r="AB109" s="228" t="str">
        <f t="shared" si="16"/>
        <v>GoldChugai Mining</v>
      </c>
    </row>
    <row r="110" spans="1:28" s="227" customFormat="1" ht="40.5">
      <c r="A110" s="301" t="s">
        <v>663</v>
      </c>
      <c r="B110" s="293" t="s">
        <v>1119</v>
      </c>
      <c r="C110" s="294" t="s">
        <v>535</v>
      </c>
      <c r="D110" s="295" t="s">
        <v>535</v>
      </c>
      <c r="E110" s="293" t="s">
        <v>1098</v>
      </c>
      <c r="F110" s="293" t="s">
        <v>663</v>
      </c>
      <c r="G110" s="293" t="s">
        <v>13217</v>
      </c>
      <c r="H110" s="296" t="s">
        <v>15855</v>
      </c>
      <c r="I110" s="297" t="s">
        <v>1563</v>
      </c>
      <c r="J110" s="297" t="s">
        <v>1534</v>
      </c>
      <c r="K110" s="298" t="s">
        <v>15954</v>
      </c>
      <c r="L110" s="298" t="s">
        <v>15955</v>
      </c>
      <c r="M110" s="298" t="s">
        <v>15956</v>
      </c>
      <c r="N110" s="298" t="s">
        <v>15870</v>
      </c>
      <c r="O110" s="298" t="s">
        <v>15879</v>
      </c>
      <c r="P110" s="299" t="s">
        <v>15875</v>
      </c>
      <c r="Q110" s="300" t="s">
        <v>15855</v>
      </c>
      <c r="R110" s="182" t="str">
        <f ca="1">IF(ISERROR($V110),"",OFFSET('Smelter Look-up'!$C$4,$V110-4,0)&amp;"")</f>
        <v>Chugai Mining</v>
      </c>
      <c r="S110" s="181" t="str">
        <f t="shared" ca="1" si="14"/>
        <v>JP</v>
      </c>
      <c r="T110" s="181" t="str">
        <f ca="1">IF(B110="","",IF(ISERROR(MATCH($J110,SorP!$B$1:$B$6226,0)),"",INDIRECT("'SorP'!$A$"&amp;MATCH($S110&amp;$J110,SorP!C:C,0))))</f>
        <v>JP-13</v>
      </c>
      <c r="U110" s="201"/>
      <c r="V110" s="226">
        <f>IF(C110="",NA(),IF(OR(C110="Smelter not listed",C110="Smelter not yet identified"),MATCH($B110&amp;$D110,'Smelter Look-up'!$J:$J,0),MATCH($B110&amp;$C110,'Smelter Look-up'!$J:$J,0)))</f>
        <v>60</v>
      </c>
      <c r="X110" s="227">
        <f t="shared" si="15"/>
        <v>0</v>
      </c>
      <c r="AB110" s="228" t="str">
        <f t="shared" si="16"/>
        <v>GoldChugai Mining</v>
      </c>
    </row>
    <row r="111" spans="1:28" s="227" customFormat="1" ht="81">
      <c r="A111" s="301" t="s">
        <v>665</v>
      </c>
      <c r="B111" s="293" t="s">
        <v>1119</v>
      </c>
      <c r="C111" s="294" t="s">
        <v>664</v>
      </c>
      <c r="D111" s="295" t="s">
        <v>664</v>
      </c>
      <c r="E111" s="293" t="s">
        <v>1090</v>
      </c>
      <c r="F111" s="293" t="s">
        <v>665</v>
      </c>
      <c r="G111" s="293" t="s">
        <v>13217</v>
      </c>
      <c r="H111" s="296" t="s">
        <v>15855</v>
      </c>
      <c r="I111" s="297" t="s">
        <v>1565</v>
      </c>
      <c r="J111" s="297" t="s">
        <v>13599</v>
      </c>
      <c r="K111" s="298" t="s">
        <v>15855</v>
      </c>
      <c r="L111" s="298" t="s">
        <v>15855</v>
      </c>
      <c r="M111" s="298" t="s">
        <v>15855</v>
      </c>
      <c r="N111" s="298" t="s">
        <v>15855</v>
      </c>
      <c r="O111" s="298" t="s">
        <v>15858</v>
      </c>
      <c r="P111" s="299" t="s">
        <v>15857</v>
      </c>
      <c r="Q111" s="300" t="s">
        <v>15855</v>
      </c>
      <c r="R111" s="182" t="str">
        <f ca="1">IF(ISERROR($V111),"",OFFSET('Smelter Look-up'!$C$4,$V111-4,0)&amp;"")</f>
        <v>Daye Non-Ferrous Metals Mining Ltd.</v>
      </c>
      <c r="S111" s="181" t="str">
        <f t="shared" ca="1" si="14"/>
        <v>CN</v>
      </c>
      <c r="T111" s="181" t="str">
        <f ca="1">IF(B111="","",IF(ISERROR(MATCH($J111,SorP!$B$1:$B$6226,0)),"",INDIRECT("'SorP'!$A$"&amp;MATCH($S111&amp;$J111,SorP!C:C,0))))</f>
        <v>CN-HB</v>
      </c>
      <c r="U111" s="201"/>
      <c r="V111" s="226">
        <f>IF(C111="",NA(),IF(OR(C111="Smelter not listed",C111="Smelter not yet identified"),MATCH($B111&amp;$D111,'Smelter Look-up'!$J:$J,0),MATCH($B111&amp;$C111,'Smelter Look-up'!$J:$J,0)))</f>
        <v>62</v>
      </c>
      <c r="X111" s="227">
        <f t="shared" si="15"/>
        <v>0</v>
      </c>
      <c r="AB111" s="228" t="str">
        <f t="shared" si="16"/>
        <v>GoldDaye Non-Ferrous Metals Mining Ltd.</v>
      </c>
    </row>
    <row r="112" spans="1:28" s="227" customFormat="1" ht="94.5">
      <c r="A112" s="301" t="s">
        <v>2420</v>
      </c>
      <c r="B112" s="293" t="s">
        <v>1119</v>
      </c>
      <c r="C112" s="294" t="s">
        <v>2419</v>
      </c>
      <c r="D112" s="295" t="s">
        <v>2419</v>
      </c>
      <c r="E112" s="293" t="s">
        <v>1091</v>
      </c>
      <c r="F112" s="293" t="s">
        <v>2420</v>
      </c>
      <c r="G112" s="293" t="s">
        <v>13217</v>
      </c>
      <c r="H112" s="296" t="s">
        <v>15855</v>
      </c>
      <c r="I112" s="297" t="s">
        <v>1535</v>
      </c>
      <c r="J112" s="297" t="s">
        <v>1536</v>
      </c>
      <c r="K112" s="298" t="s">
        <v>15855</v>
      </c>
      <c r="L112" s="298" t="s">
        <v>15855</v>
      </c>
      <c r="M112" s="298" t="s">
        <v>15855</v>
      </c>
      <c r="N112" s="298" t="s">
        <v>15855</v>
      </c>
      <c r="O112" s="298" t="s">
        <v>15858</v>
      </c>
      <c r="P112" s="299" t="s">
        <v>15857</v>
      </c>
      <c r="Q112" s="300" t="s">
        <v>15855</v>
      </c>
      <c r="R112" s="182" t="str">
        <f ca="1">IF(ISERROR($V112),"",OFFSET('Smelter Look-up'!$C$4,$V112-4,0)&amp;"")</f>
        <v>Degussa Sonne / Mond Goldhandel GmbH</v>
      </c>
      <c r="S112" s="181" t="str">
        <f t="shared" ca="1" si="14"/>
        <v>DE</v>
      </c>
      <c r="T112" s="181" t="str">
        <f ca="1">IF(B112="","",IF(ISERROR(MATCH($J112,SorP!$B$1:$B$6226,0)),"",INDIRECT("'SorP'!$A$"&amp;MATCH($S112&amp;$J112,SorP!C:C,0))))</f>
        <v>DE-BW</v>
      </c>
      <c r="U112" s="201"/>
      <c r="V112" s="226">
        <f>IF(C112="",NA(),IF(OR(C112="Smelter not listed",C112="Smelter not yet identified"),MATCH($B112&amp;$D112,'Smelter Look-up'!$J:$J,0),MATCH($B112&amp;$C112,'Smelter Look-up'!$J:$J,0)))</f>
        <v>64</v>
      </c>
      <c r="X112" s="227">
        <f t="shared" si="15"/>
        <v>0</v>
      </c>
      <c r="AB112" s="228" t="str">
        <f t="shared" si="16"/>
        <v>GoldDegussa Sonne / Mond Goldhandel GmbH</v>
      </c>
    </row>
    <row r="113" spans="1:28" s="227" customFormat="1" ht="54">
      <c r="A113" s="301" t="s">
        <v>13764</v>
      </c>
      <c r="B113" s="293" t="s">
        <v>1119</v>
      </c>
      <c r="C113" s="294" t="s">
        <v>13763</v>
      </c>
      <c r="D113" s="295" t="s">
        <v>13763</v>
      </c>
      <c r="E113" s="293" t="s">
        <v>1082</v>
      </c>
      <c r="F113" s="293" t="s">
        <v>13764</v>
      </c>
      <c r="G113" s="293" t="s">
        <v>13217</v>
      </c>
      <c r="H113" s="296" t="s">
        <v>15855</v>
      </c>
      <c r="I113" s="297" t="s">
        <v>13799</v>
      </c>
      <c r="J113" s="297" t="s">
        <v>2551</v>
      </c>
      <c r="K113" s="298" t="s">
        <v>15855</v>
      </c>
      <c r="L113" s="298" t="s">
        <v>15855</v>
      </c>
      <c r="M113" s="298" t="s">
        <v>15855</v>
      </c>
      <c r="N113" s="298" t="s">
        <v>15855</v>
      </c>
      <c r="O113" s="298" t="s">
        <v>15858</v>
      </c>
      <c r="P113" s="299" t="s">
        <v>15857</v>
      </c>
      <c r="Q113" s="300" t="s">
        <v>15855</v>
      </c>
      <c r="R113" s="182" t="str">
        <f ca="1">IF(ISERROR($V113),"",OFFSET('Smelter Look-up'!$C$4,$V113-4,0)&amp;"")</f>
        <v>Dijllah Gold Refinery FZC</v>
      </c>
      <c r="S113" s="181" t="str">
        <f t="shared" ca="1" si="14"/>
        <v>AE</v>
      </c>
      <c r="T113" s="181" t="str">
        <f ca="1">IF(B113="","",IF(ISERROR(MATCH($J113,SorP!$B$1:$B$6226,0)),"",INDIRECT("'SorP'!$A$"&amp;MATCH($S113&amp;$J113,SorP!C:C,0))))</f>
        <v>AE-SH</v>
      </c>
      <c r="U113" s="201"/>
      <c r="V113" s="226">
        <f>IF(C113="",NA(),IF(OR(C113="Smelter not listed",C113="Smelter not yet identified"),MATCH($B113&amp;$D113,'Smelter Look-up'!$J:$J,0),MATCH($B113&amp;$C113,'Smelter Look-up'!$J:$J,0)))</f>
        <v>65</v>
      </c>
      <c r="X113" s="227">
        <f t="shared" si="15"/>
        <v>0</v>
      </c>
      <c r="AB113" s="228" t="str">
        <f t="shared" si="16"/>
        <v>GoldDijllah Gold Refinery FZC</v>
      </c>
    </row>
    <row r="114" spans="1:28" s="227" customFormat="1" ht="27">
      <c r="A114" s="301" t="s">
        <v>15957</v>
      </c>
      <c r="B114" s="293" t="s">
        <v>1119</v>
      </c>
      <c r="C114" s="294" t="s">
        <v>15958</v>
      </c>
      <c r="D114" s="295" t="s">
        <v>15959</v>
      </c>
      <c r="E114" s="293" t="s">
        <v>1091</v>
      </c>
      <c r="F114" s="293" t="s">
        <v>15957</v>
      </c>
      <c r="G114" s="293" t="s">
        <v>13217</v>
      </c>
      <c r="H114" s="296" t="s">
        <v>15855</v>
      </c>
      <c r="I114" s="297" t="s">
        <v>1535</v>
      </c>
      <c r="J114" s="297" t="s">
        <v>1536</v>
      </c>
      <c r="K114" s="298" t="s">
        <v>15855</v>
      </c>
      <c r="L114" s="298" t="s">
        <v>15855</v>
      </c>
      <c r="M114" s="298" t="s">
        <v>15855</v>
      </c>
      <c r="N114" s="298" t="s">
        <v>15855</v>
      </c>
      <c r="O114" s="298" t="s">
        <v>15855</v>
      </c>
      <c r="P114" s="299" t="s">
        <v>15857</v>
      </c>
      <c r="Q114" s="300" t="s">
        <v>15855</v>
      </c>
      <c r="R114" s="182" t="str">
        <f ca="1">IF(ISERROR($V114),"",OFFSET('Smelter Look-up'!$C$4,$V114-4,0)&amp;"")</f>
        <v/>
      </c>
      <c r="S114" s="181" t="str">
        <f t="shared" ca="1" si="14"/>
        <v>DE</v>
      </c>
      <c r="T114" s="181" t="str">
        <f ca="1">IF(B114="","",IF(ISERROR(MATCH($J114,SorP!$B$1:$B$6226,0)),"",INDIRECT("'SorP'!$A$"&amp;MATCH($S114&amp;$J114,SorP!C:C,0))))</f>
        <v>DE-BW</v>
      </c>
      <c r="U114" s="201"/>
      <c r="V114" s="226" t="e">
        <f>IF(C114="",NA(),IF(OR(C114="Smelter not listed",C114="Smelter not yet identified"),MATCH($B114&amp;$D114,'Smelter Look-up'!$J:$J,0),MATCH($B114&amp;$C114,'Smelter Look-up'!$J:$J,0)))</f>
        <v>#N/A</v>
      </c>
      <c r="X114" s="227">
        <f t="shared" si="15"/>
        <v>0</v>
      </c>
      <c r="AB114" s="228" t="str">
        <f t="shared" si="16"/>
        <v>GoldDoduco</v>
      </c>
    </row>
    <row r="115" spans="1:28" s="227" customFormat="1" ht="81">
      <c r="A115" s="301" t="s">
        <v>15957</v>
      </c>
      <c r="B115" s="293" t="s">
        <v>1119</v>
      </c>
      <c r="C115" s="294" t="s">
        <v>15959</v>
      </c>
      <c r="D115" s="295" t="s">
        <v>15959</v>
      </c>
      <c r="E115" s="293" t="s">
        <v>1091</v>
      </c>
      <c r="F115" s="293" t="s">
        <v>15957</v>
      </c>
      <c r="G115" s="293" t="s">
        <v>13217</v>
      </c>
      <c r="H115" s="296" t="s">
        <v>15855</v>
      </c>
      <c r="I115" s="297" t="s">
        <v>1535</v>
      </c>
      <c r="J115" s="297" t="s">
        <v>1536</v>
      </c>
      <c r="K115" s="298" t="s">
        <v>15855</v>
      </c>
      <c r="L115" s="298" t="s">
        <v>15855</v>
      </c>
      <c r="M115" s="298" t="s">
        <v>15855</v>
      </c>
      <c r="N115" s="298" t="s">
        <v>15855</v>
      </c>
      <c r="O115" s="298" t="s">
        <v>15855</v>
      </c>
      <c r="P115" s="299" t="s">
        <v>15857</v>
      </c>
      <c r="Q115" s="300" t="s">
        <v>15855</v>
      </c>
      <c r="R115" s="182" t="str">
        <f ca="1">IF(ISERROR($V115),"",OFFSET('Smelter Look-up'!$C$4,$V115-4,0)&amp;"")</f>
        <v/>
      </c>
      <c r="S115" s="181" t="str">
        <f t="shared" ca="1" si="14"/>
        <v>DE</v>
      </c>
      <c r="T115" s="181" t="str">
        <f ca="1">IF(B115="","",IF(ISERROR(MATCH($J115,SorP!$B$1:$B$6226,0)),"",INDIRECT("'SorP'!$A$"&amp;MATCH($S115&amp;$J115,SorP!C:C,0))))</f>
        <v>DE-BW</v>
      </c>
      <c r="U115" s="201"/>
      <c r="V115" s="226" t="e">
        <f>IF(C115="",NA(),IF(OR(C115="Smelter not listed",C115="Smelter not yet identified"),MATCH($B115&amp;$D115,'Smelter Look-up'!$J:$J,0),MATCH($B115&amp;$C115,'Smelter Look-up'!$J:$J,0)))</f>
        <v>#N/A</v>
      </c>
      <c r="X115" s="227">
        <f t="shared" si="15"/>
        <v>0</v>
      </c>
      <c r="AB115" s="228" t="str">
        <f t="shared" si="16"/>
        <v>GoldDODUCO Contacts and Refining GmbH</v>
      </c>
    </row>
    <row r="116" spans="1:28" s="227" customFormat="1" ht="40.5">
      <c r="A116" s="301" t="s">
        <v>15957</v>
      </c>
      <c r="B116" s="293" t="s">
        <v>1119</v>
      </c>
      <c r="C116" s="294" t="s">
        <v>15960</v>
      </c>
      <c r="D116" s="295" t="s">
        <v>15960</v>
      </c>
      <c r="E116" s="293" t="s">
        <v>1091</v>
      </c>
      <c r="F116" s="293" t="s">
        <v>15957</v>
      </c>
      <c r="G116" s="293" t="s">
        <v>15865</v>
      </c>
      <c r="H116" s="296" t="s">
        <v>15855</v>
      </c>
      <c r="I116" s="297" t="s">
        <v>1535</v>
      </c>
      <c r="J116" s="297" t="s">
        <v>15961</v>
      </c>
      <c r="K116" s="298" t="s">
        <v>15855</v>
      </c>
      <c r="L116" s="298" t="s">
        <v>15855</v>
      </c>
      <c r="M116" s="298" t="s">
        <v>15855</v>
      </c>
      <c r="N116" s="298" t="s">
        <v>15855</v>
      </c>
      <c r="O116" s="298" t="s">
        <v>15855</v>
      </c>
      <c r="P116" s="299" t="s">
        <v>15857</v>
      </c>
      <c r="Q116" s="300" t="s">
        <v>15855</v>
      </c>
      <c r="R116" s="182" t="str">
        <f ca="1">IF(ISERROR($V116),"",OFFSET('Smelter Look-up'!$C$4,$V116-4,0)&amp;"")</f>
        <v/>
      </c>
      <c r="S116" s="181" t="str">
        <f t="shared" ca="1" si="14"/>
        <v>DE</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si="15"/>
        <v>0</v>
      </c>
      <c r="AB116" s="228" t="str">
        <f t="shared" si="16"/>
        <v>GoldDODUCO GmbH</v>
      </c>
    </row>
    <row r="117" spans="1:28" s="227" customFormat="1" ht="27">
      <c r="A117" s="301" t="s">
        <v>667</v>
      </c>
      <c r="B117" s="293" t="s">
        <v>1119</v>
      </c>
      <c r="C117" s="294" t="s">
        <v>896</v>
      </c>
      <c r="D117" s="295" t="s">
        <v>896</v>
      </c>
      <c r="E117" s="293" t="s">
        <v>1098</v>
      </c>
      <c r="F117" s="293" t="s">
        <v>667</v>
      </c>
      <c r="G117" s="293" t="s">
        <v>13217</v>
      </c>
      <c r="H117" s="296" t="s">
        <v>15855</v>
      </c>
      <c r="I117" s="297" t="s">
        <v>1567</v>
      </c>
      <c r="J117" s="297" t="s">
        <v>1568</v>
      </c>
      <c r="K117" s="298" t="s">
        <v>15855</v>
      </c>
      <c r="L117" s="298" t="s">
        <v>15855</v>
      </c>
      <c r="M117" s="298" t="s">
        <v>15855</v>
      </c>
      <c r="N117" s="298" t="s">
        <v>15855</v>
      </c>
      <c r="O117" s="298" t="s">
        <v>15855</v>
      </c>
      <c r="P117" s="299" t="s">
        <v>15857</v>
      </c>
      <c r="Q117" s="300" t="s">
        <v>15855</v>
      </c>
      <c r="R117" s="182" t="str">
        <f ca="1">IF(ISERROR($V117),"",OFFSET('Smelter Look-up'!$C$4,$V117-4,0)&amp;"")</f>
        <v>Dowa</v>
      </c>
      <c r="S117" s="181" t="str">
        <f t="shared" ca="1" si="14"/>
        <v>JP</v>
      </c>
      <c r="T117" s="181" t="str">
        <f ca="1">IF(B117="","",IF(ISERROR(MATCH($J117,SorP!$B$1:$B$6226,0)),"",INDIRECT("'SorP'!$A$"&amp;MATCH($S117&amp;$J117,SorP!C:C,0))))</f>
        <v>JP-05</v>
      </c>
      <c r="U117" s="201"/>
      <c r="V117" s="226">
        <f>IF(C117="",NA(),IF(OR(C117="Smelter not listed",C117="Smelter not yet identified"),MATCH($B117&amp;$D117,'Smelter Look-up'!$J:$J,0),MATCH($B117&amp;$C117,'Smelter Look-up'!$J:$J,0)))</f>
        <v>69</v>
      </c>
      <c r="X117" s="227">
        <f t="shared" si="15"/>
        <v>0</v>
      </c>
      <c r="AB117" s="228" t="str">
        <f t="shared" si="16"/>
        <v>GoldDowa</v>
      </c>
    </row>
    <row r="118" spans="1:28" s="227" customFormat="1" ht="27">
      <c r="A118" s="301" t="s">
        <v>667</v>
      </c>
      <c r="B118" s="293" t="s">
        <v>1119</v>
      </c>
      <c r="C118" s="294" t="s">
        <v>896</v>
      </c>
      <c r="D118" s="295" t="s">
        <v>896</v>
      </c>
      <c r="E118" s="293" t="s">
        <v>1098</v>
      </c>
      <c r="F118" s="293" t="s">
        <v>667</v>
      </c>
      <c r="G118" s="293" t="s">
        <v>13217</v>
      </c>
      <c r="H118" s="296" t="s">
        <v>15855</v>
      </c>
      <c r="I118" s="297" t="s">
        <v>1567</v>
      </c>
      <c r="J118" s="297" t="s">
        <v>1568</v>
      </c>
      <c r="K118" s="298" t="s">
        <v>15855</v>
      </c>
      <c r="L118" s="298" t="s">
        <v>15855</v>
      </c>
      <c r="M118" s="298" t="s">
        <v>15855</v>
      </c>
      <c r="N118" s="298" t="s">
        <v>15855</v>
      </c>
      <c r="O118" s="298" t="s">
        <v>15962</v>
      </c>
      <c r="P118" s="299" t="s">
        <v>15857</v>
      </c>
      <c r="Q118" s="300" t="s">
        <v>15855</v>
      </c>
      <c r="R118" s="182" t="str">
        <f ca="1">IF(ISERROR($V118),"",OFFSET('Smelter Look-up'!$C$4,$V118-4,0)&amp;"")</f>
        <v>Dowa</v>
      </c>
      <c r="S118" s="181" t="str">
        <f t="shared" ca="1" si="14"/>
        <v>JP</v>
      </c>
      <c r="T118" s="181" t="str">
        <f ca="1">IF(B118="","",IF(ISERROR(MATCH($J118,SorP!$B$1:$B$6226,0)),"",INDIRECT("'SorP'!$A$"&amp;MATCH($S118&amp;$J118,SorP!C:C,0))))</f>
        <v>JP-05</v>
      </c>
      <c r="U118" s="201"/>
      <c r="V118" s="226">
        <f>IF(C118="",NA(),IF(OR(C118="Smelter not listed",C118="Smelter not yet identified"),MATCH($B118&amp;$D118,'Smelter Look-up'!$J:$J,0),MATCH($B118&amp;$C118,'Smelter Look-up'!$J:$J,0)))</f>
        <v>69</v>
      </c>
      <c r="X118" s="227">
        <f t="shared" si="15"/>
        <v>0</v>
      </c>
      <c r="AB118" s="228" t="str">
        <f t="shared" si="16"/>
        <v>GoldDowa</v>
      </c>
    </row>
    <row r="119" spans="1:28" s="227" customFormat="1" ht="27">
      <c r="A119" s="301" t="s">
        <v>667</v>
      </c>
      <c r="B119" s="293" t="s">
        <v>1119</v>
      </c>
      <c r="C119" s="294" t="s">
        <v>896</v>
      </c>
      <c r="D119" s="295" t="s">
        <v>896</v>
      </c>
      <c r="E119" s="293" t="s">
        <v>1098</v>
      </c>
      <c r="F119" s="293" t="s">
        <v>667</v>
      </c>
      <c r="G119" s="293" t="s">
        <v>13217</v>
      </c>
      <c r="H119" s="296" t="s">
        <v>15855</v>
      </c>
      <c r="I119" s="297" t="s">
        <v>1567</v>
      </c>
      <c r="J119" s="297" t="s">
        <v>1568</v>
      </c>
      <c r="K119" s="298" t="s">
        <v>15963</v>
      </c>
      <c r="L119" s="298" t="s">
        <v>15964</v>
      </c>
      <c r="M119" s="298" t="s">
        <v>15892</v>
      </c>
      <c r="N119" s="298" t="s">
        <v>15965</v>
      </c>
      <c r="O119" s="298" t="s">
        <v>15966</v>
      </c>
      <c r="P119" s="299" t="s">
        <v>15857</v>
      </c>
      <c r="Q119" s="300" t="s">
        <v>15855</v>
      </c>
      <c r="R119" s="182" t="str">
        <f ca="1">IF(ISERROR($V119),"",OFFSET('Smelter Look-up'!$C$4,$V119-4,0)&amp;"")</f>
        <v>Dowa</v>
      </c>
      <c r="S119" s="181" t="str">
        <f t="shared" ca="1" si="14"/>
        <v>JP</v>
      </c>
      <c r="T119" s="181" t="str">
        <f ca="1">IF(B119="","",IF(ISERROR(MATCH($J119,SorP!$B$1:$B$6226,0)),"",INDIRECT("'SorP'!$A$"&amp;MATCH($S119&amp;$J119,SorP!C:C,0))))</f>
        <v>JP-05</v>
      </c>
      <c r="U119" s="201"/>
      <c r="V119" s="226">
        <f>IF(C119="",NA(),IF(OR(C119="Smelter not listed",C119="Smelter not yet identified"),MATCH($B119&amp;$D119,'Smelter Look-up'!$J:$J,0),MATCH($B119&amp;$C119,'Smelter Look-up'!$J:$J,0)))</f>
        <v>69</v>
      </c>
      <c r="X119" s="227">
        <f t="shared" si="15"/>
        <v>0</v>
      </c>
      <c r="AB119" s="228" t="str">
        <f t="shared" si="16"/>
        <v>GoldDowa</v>
      </c>
    </row>
    <row r="120" spans="1:28" s="227" customFormat="1" ht="27">
      <c r="A120" s="301" t="s">
        <v>667</v>
      </c>
      <c r="B120" s="293" t="s">
        <v>1119</v>
      </c>
      <c r="C120" s="294" t="s">
        <v>896</v>
      </c>
      <c r="D120" s="295" t="s">
        <v>896</v>
      </c>
      <c r="E120" s="293" t="s">
        <v>1098</v>
      </c>
      <c r="F120" s="293" t="s">
        <v>667</v>
      </c>
      <c r="G120" s="293" t="s">
        <v>13217</v>
      </c>
      <c r="H120" s="302" t="s">
        <v>15880</v>
      </c>
      <c r="I120" s="297" t="s">
        <v>1567</v>
      </c>
      <c r="J120" s="297" t="s">
        <v>1568</v>
      </c>
      <c r="K120" s="298" t="s">
        <v>15855</v>
      </c>
      <c r="L120" s="298" t="s">
        <v>15855</v>
      </c>
      <c r="M120" s="298" t="s">
        <v>15855</v>
      </c>
      <c r="N120" s="298" t="s">
        <v>15855</v>
      </c>
      <c r="O120" s="298" t="s">
        <v>15855</v>
      </c>
      <c r="P120" s="299" t="s">
        <v>15857</v>
      </c>
      <c r="Q120" s="300" t="s">
        <v>15855</v>
      </c>
      <c r="R120" s="182" t="str">
        <f ca="1">IF(ISERROR($V120),"",OFFSET('Smelter Look-up'!$C$4,$V120-4,0)&amp;"")</f>
        <v>Dowa</v>
      </c>
      <c r="S120" s="181" t="str">
        <f t="shared" ca="1" si="14"/>
        <v>JP</v>
      </c>
      <c r="T120" s="181" t="str">
        <f ca="1">IF(B120="","",IF(ISERROR(MATCH($J120,SorP!$B$1:$B$6226,0)),"",INDIRECT("'SorP'!$A$"&amp;MATCH($S120&amp;$J120,SorP!C:C,0))))</f>
        <v>JP-05</v>
      </c>
      <c r="U120" s="201"/>
      <c r="V120" s="226">
        <f>IF(C120="",NA(),IF(OR(C120="Smelter not listed",C120="Smelter not yet identified"),MATCH($B120&amp;$D120,'Smelter Look-up'!$J:$J,0),MATCH($B120&amp;$C120,'Smelter Look-up'!$J:$J,0)))</f>
        <v>69</v>
      </c>
      <c r="X120" s="227">
        <f t="shared" si="15"/>
        <v>0</v>
      </c>
      <c r="AB120" s="228" t="str">
        <f t="shared" si="16"/>
        <v>GoldDowa</v>
      </c>
    </row>
    <row r="121" spans="1:28" s="227" customFormat="1" ht="67.5">
      <c r="A121" s="301" t="s">
        <v>666</v>
      </c>
      <c r="B121" s="293" t="s">
        <v>1119</v>
      </c>
      <c r="C121" s="294" t="s">
        <v>2239</v>
      </c>
      <c r="D121" s="295" t="s">
        <v>2239</v>
      </c>
      <c r="E121" s="293" t="s">
        <v>1101</v>
      </c>
      <c r="F121" s="293" t="s">
        <v>666</v>
      </c>
      <c r="G121" s="293" t="s">
        <v>13217</v>
      </c>
      <c r="H121" s="296" t="s">
        <v>15855</v>
      </c>
      <c r="I121" s="297" t="s">
        <v>1566</v>
      </c>
      <c r="J121" s="297" t="s">
        <v>12849</v>
      </c>
      <c r="K121" s="298" t="s">
        <v>15855</v>
      </c>
      <c r="L121" s="298" t="s">
        <v>15855</v>
      </c>
      <c r="M121" s="298" t="s">
        <v>15855</v>
      </c>
      <c r="N121" s="298" t="s">
        <v>15855</v>
      </c>
      <c r="O121" s="298" t="s">
        <v>15855</v>
      </c>
      <c r="P121" s="299" t="s">
        <v>15857</v>
      </c>
      <c r="Q121" s="300" t="s">
        <v>15855</v>
      </c>
      <c r="R121" s="182" t="str">
        <f ca="1">IF(ISERROR($V121),"",OFFSET('Smelter Look-up'!$C$4,$V121-4,0)&amp;"")</f>
        <v>DSC (Do Sung Corporation)</v>
      </c>
      <c r="S121" s="181" t="str">
        <f t="shared" ca="1" si="14"/>
        <v>KR</v>
      </c>
      <c r="T121" s="181" t="str">
        <f ca="1">IF(B121="","",IF(ISERROR(MATCH($J121,SorP!$B$1:$B$6226,0)),"",INDIRECT("'SorP'!$A$"&amp;MATCH($S121&amp;$J121,SorP!C:C,0))))</f>
        <v>KR-41</v>
      </c>
      <c r="U121" s="201"/>
      <c r="V121" s="226">
        <f>IF(C121="",NA(),IF(OR(C121="Smelter not listed",C121="Smelter not yet identified"),MATCH($B121&amp;$D121,'Smelter Look-up'!$J:$J,0),MATCH($B121&amp;$C121,'Smelter Look-up'!$J:$J,0)))</f>
        <v>73</v>
      </c>
      <c r="X121" s="227">
        <f t="shared" si="15"/>
        <v>0</v>
      </c>
      <c r="AB121" s="228" t="str">
        <f t="shared" si="16"/>
        <v>GoldDSC (Do Sung Corporation)</v>
      </c>
    </row>
    <row r="122" spans="1:28" s="227" customFormat="1" ht="67.5">
      <c r="A122" s="301" t="s">
        <v>666</v>
      </c>
      <c r="B122" s="293" t="s">
        <v>1119</v>
      </c>
      <c r="C122" s="294" t="s">
        <v>2239</v>
      </c>
      <c r="D122" s="295" t="s">
        <v>2239</v>
      </c>
      <c r="E122" s="293" t="s">
        <v>1101</v>
      </c>
      <c r="F122" s="293" t="s">
        <v>666</v>
      </c>
      <c r="G122" s="293" t="s">
        <v>13217</v>
      </c>
      <c r="H122" s="296" t="s">
        <v>15855</v>
      </c>
      <c r="I122" s="297" t="s">
        <v>1566</v>
      </c>
      <c r="J122" s="297" t="s">
        <v>12849</v>
      </c>
      <c r="K122" s="298" t="s">
        <v>15855</v>
      </c>
      <c r="L122" s="298" t="s">
        <v>15855</v>
      </c>
      <c r="M122" s="298" t="s">
        <v>15855</v>
      </c>
      <c r="N122" s="298" t="s">
        <v>15855</v>
      </c>
      <c r="O122" s="298" t="s">
        <v>15925</v>
      </c>
      <c r="P122" s="299" t="s">
        <v>15857</v>
      </c>
      <c r="Q122" s="300" t="s">
        <v>15855</v>
      </c>
      <c r="R122" s="182" t="str">
        <f ca="1">IF(ISERROR($V122),"",OFFSET('Smelter Look-up'!$C$4,$V122-4,0)&amp;"")</f>
        <v>DSC (Do Sung Corporation)</v>
      </c>
      <c r="S122" s="181" t="str">
        <f t="shared" ca="1" si="14"/>
        <v>KR</v>
      </c>
      <c r="T122" s="181" t="str">
        <f ca="1">IF(B122="","",IF(ISERROR(MATCH($J122,SorP!$B$1:$B$6226,0)),"",INDIRECT("'SorP'!$A$"&amp;MATCH($S122&amp;$J122,SorP!C:C,0))))</f>
        <v>KR-41</v>
      </c>
      <c r="U122" s="201"/>
      <c r="V122" s="226">
        <f>IF(C122="",NA(),IF(OR(C122="Smelter not listed",C122="Smelter not yet identified"),MATCH($B122&amp;$D122,'Smelter Look-up'!$J:$J,0),MATCH($B122&amp;$C122,'Smelter Look-up'!$J:$J,0)))</f>
        <v>73</v>
      </c>
      <c r="X122" s="227">
        <f t="shared" si="15"/>
        <v>0</v>
      </c>
      <c r="AB122" s="228" t="str">
        <f t="shared" si="16"/>
        <v>GoldDSC (Do Sung Corporation)</v>
      </c>
    </row>
    <row r="123" spans="1:28" s="227" customFormat="1" ht="67.5">
      <c r="A123" s="301" t="s">
        <v>666</v>
      </c>
      <c r="B123" s="293" t="s">
        <v>1119</v>
      </c>
      <c r="C123" s="294" t="s">
        <v>2239</v>
      </c>
      <c r="D123" s="295" t="s">
        <v>2239</v>
      </c>
      <c r="E123" s="293" t="s">
        <v>1101</v>
      </c>
      <c r="F123" s="293" t="s">
        <v>666</v>
      </c>
      <c r="G123" s="293" t="s">
        <v>13217</v>
      </c>
      <c r="H123" s="296" t="s">
        <v>15855</v>
      </c>
      <c r="I123" s="297" t="s">
        <v>1566</v>
      </c>
      <c r="J123" s="297" t="s">
        <v>12849</v>
      </c>
      <c r="K123" s="298" t="s">
        <v>15967</v>
      </c>
      <c r="L123" s="298" t="s">
        <v>15968</v>
      </c>
      <c r="M123" s="298" t="s">
        <v>15969</v>
      </c>
      <c r="N123" s="298" t="s">
        <v>15876</v>
      </c>
      <c r="O123" s="298" t="s">
        <v>15879</v>
      </c>
      <c r="P123" s="299" t="s">
        <v>15875</v>
      </c>
      <c r="Q123" s="300" t="s">
        <v>15855</v>
      </c>
      <c r="R123" s="182" t="str">
        <f ca="1">IF(ISERROR($V123),"",OFFSET('Smelter Look-up'!$C$4,$V123-4,0)&amp;"")</f>
        <v>DSC (Do Sung Corporation)</v>
      </c>
      <c r="S123" s="181" t="str">
        <f t="shared" ca="1" si="14"/>
        <v>KR</v>
      </c>
      <c r="T123" s="181" t="str">
        <f ca="1">IF(B123="","",IF(ISERROR(MATCH($J123,SorP!$B$1:$B$6226,0)),"",INDIRECT("'SorP'!$A$"&amp;MATCH($S123&amp;$J123,SorP!C:C,0))))</f>
        <v>KR-41</v>
      </c>
      <c r="U123" s="201"/>
      <c r="V123" s="226">
        <f>IF(C123="",NA(),IF(OR(C123="Smelter not listed",C123="Smelter not yet identified"),MATCH($B123&amp;$D123,'Smelter Look-up'!$J:$J,0),MATCH($B123&amp;$C123,'Smelter Look-up'!$J:$J,0)))</f>
        <v>73</v>
      </c>
      <c r="X123" s="227">
        <f t="shared" si="15"/>
        <v>0</v>
      </c>
      <c r="AB123" s="228" t="str">
        <f t="shared" si="16"/>
        <v>GoldDSC (Do Sung Corporation)</v>
      </c>
    </row>
    <row r="124" spans="1:28" s="227" customFormat="1" ht="67.5">
      <c r="A124" s="301" t="s">
        <v>393</v>
      </c>
      <c r="B124" s="293" t="s">
        <v>1119</v>
      </c>
      <c r="C124" s="294" t="s">
        <v>15970</v>
      </c>
      <c r="D124" s="295" t="s">
        <v>15970</v>
      </c>
      <c r="E124" s="293" t="s">
        <v>1098</v>
      </c>
      <c r="F124" s="293" t="s">
        <v>393</v>
      </c>
      <c r="G124" s="293" t="s">
        <v>13217</v>
      </c>
      <c r="H124" s="302" t="s">
        <v>15880</v>
      </c>
      <c r="I124" s="297" t="s">
        <v>1572</v>
      </c>
      <c r="J124" s="297" t="s">
        <v>1573</v>
      </c>
      <c r="K124" s="298" t="s">
        <v>15855</v>
      </c>
      <c r="L124" s="298" t="s">
        <v>15855</v>
      </c>
      <c r="M124" s="298" t="s">
        <v>15855</v>
      </c>
      <c r="N124" s="298" t="s">
        <v>15855</v>
      </c>
      <c r="O124" s="298" t="s">
        <v>15855</v>
      </c>
      <c r="P124" s="299" t="s">
        <v>15857</v>
      </c>
      <c r="Q124" s="300" t="s">
        <v>15855</v>
      </c>
      <c r="R124" s="182" t="str">
        <f ca="1">IF(ISERROR($V124),"",OFFSET('Smelter Look-up'!$C$4,$V124-4,0)&amp;"")</f>
        <v/>
      </c>
      <c r="S124" s="181" t="str">
        <f t="shared" ca="1" si="14"/>
        <v>JP</v>
      </c>
      <c r="T124" s="181" t="str">
        <f ca="1">IF(B124="","",IF(ISERROR(MATCH($J124,SorP!$B$1:$B$6226,0)),"",INDIRECT("'SorP'!$A$"&amp;MATCH($S124&amp;$J124,SorP!C:C,0))))</f>
        <v>JP-11</v>
      </c>
      <c r="U124" s="201"/>
      <c r="V124" s="226" t="e">
        <f>IF(C124="",NA(),IF(OR(C124="Smelter not listed",C124="Smelter not yet identified"),MATCH($B124&amp;$D124,'Smelter Look-up'!$J:$J,0),MATCH($B124&amp;$C124,'Smelter Look-up'!$J:$J,0)))</f>
        <v>#N/A</v>
      </c>
      <c r="X124" s="227">
        <f t="shared" si="15"/>
        <v>0</v>
      </c>
      <c r="AB124" s="228" t="str">
        <f t="shared" si="16"/>
        <v>GoldEco-System Recycling Co., Ltd.</v>
      </c>
    </row>
    <row r="125" spans="1:28" s="227" customFormat="1" ht="81">
      <c r="A125" s="301" t="s">
        <v>393</v>
      </c>
      <c r="B125" s="293" t="s">
        <v>1119</v>
      </c>
      <c r="C125" s="294" t="s">
        <v>13813</v>
      </c>
      <c r="D125" s="295" t="s">
        <v>13813</v>
      </c>
      <c r="E125" s="293" t="s">
        <v>1098</v>
      </c>
      <c r="F125" s="293" t="s">
        <v>393</v>
      </c>
      <c r="G125" s="293" t="s">
        <v>13217</v>
      </c>
      <c r="H125" s="296" t="s">
        <v>15855</v>
      </c>
      <c r="I125" s="297" t="s">
        <v>1572</v>
      </c>
      <c r="J125" s="297" t="s">
        <v>1573</v>
      </c>
      <c r="K125" s="298" t="s">
        <v>15855</v>
      </c>
      <c r="L125" s="298" t="s">
        <v>15855</v>
      </c>
      <c r="M125" s="298" t="s">
        <v>15855</v>
      </c>
      <c r="N125" s="298" t="s">
        <v>15855</v>
      </c>
      <c r="O125" s="298" t="s">
        <v>15855</v>
      </c>
      <c r="P125" s="299" t="s">
        <v>15857</v>
      </c>
      <c r="Q125" s="300" t="s">
        <v>15855</v>
      </c>
      <c r="R125" s="182" t="str">
        <f ca="1">IF(ISERROR($V125),"",OFFSET('Smelter Look-up'!$C$4,$V125-4,0)&amp;"")</f>
        <v>Eco-System Recycling Co., Ltd. East Plant</v>
      </c>
      <c r="S125" s="181" t="str">
        <f t="shared" ca="1" si="14"/>
        <v>JP</v>
      </c>
      <c r="T125" s="181" t="str">
        <f ca="1">IF(B125="","",IF(ISERROR(MATCH($J125,SorP!$B$1:$B$6226,0)),"",INDIRECT("'SorP'!$A$"&amp;MATCH($S125&amp;$J125,SorP!C:C,0))))</f>
        <v>JP-11</v>
      </c>
      <c r="U125" s="201"/>
      <c r="V125" s="226">
        <f>IF(C125="",NA(),IF(OR(C125="Smelter not listed",C125="Smelter not yet identified"),MATCH($B125&amp;$D125,'Smelter Look-up'!$J:$J,0),MATCH($B125&amp;$C125,'Smelter Look-up'!$J:$J,0)))</f>
        <v>74</v>
      </c>
      <c r="X125" s="227">
        <f t="shared" si="15"/>
        <v>0</v>
      </c>
      <c r="AB125" s="228" t="str">
        <f t="shared" si="16"/>
        <v>GoldEco-System Recycling Co., Ltd. East Plant</v>
      </c>
    </row>
    <row r="126" spans="1:28" s="227" customFormat="1" ht="81">
      <c r="A126" s="301" t="s">
        <v>393</v>
      </c>
      <c r="B126" s="293" t="s">
        <v>1119</v>
      </c>
      <c r="C126" s="294" t="s">
        <v>13813</v>
      </c>
      <c r="D126" s="295" t="s">
        <v>13813</v>
      </c>
      <c r="E126" s="293" t="s">
        <v>1098</v>
      </c>
      <c r="F126" s="293" t="s">
        <v>393</v>
      </c>
      <c r="G126" s="293" t="s">
        <v>13217</v>
      </c>
      <c r="H126" s="296" t="s">
        <v>15855</v>
      </c>
      <c r="I126" s="297" t="s">
        <v>1572</v>
      </c>
      <c r="J126" s="297" t="s">
        <v>1573</v>
      </c>
      <c r="K126" s="298" t="s">
        <v>15855</v>
      </c>
      <c r="L126" s="298" t="s">
        <v>15855</v>
      </c>
      <c r="M126" s="298" t="s">
        <v>15855</v>
      </c>
      <c r="N126" s="298" t="s">
        <v>15855</v>
      </c>
      <c r="O126" s="298" t="s">
        <v>15925</v>
      </c>
      <c r="P126" s="299" t="s">
        <v>15857</v>
      </c>
      <c r="Q126" s="300" t="s">
        <v>15855</v>
      </c>
      <c r="R126" s="182" t="str">
        <f ca="1">IF(ISERROR($V126),"",OFFSET('Smelter Look-up'!$C$4,$V126-4,0)&amp;"")</f>
        <v>Eco-System Recycling Co., Ltd. East Plant</v>
      </c>
      <c r="S126" s="181" t="str">
        <f t="shared" ca="1" si="14"/>
        <v>JP</v>
      </c>
      <c r="T126" s="181" t="str">
        <f ca="1">IF(B126="","",IF(ISERROR(MATCH($J126,SorP!$B$1:$B$6226,0)),"",INDIRECT("'SorP'!$A$"&amp;MATCH($S126&amp;$J126,SorP!C:C,0))))</f>
        <v>JP-11</v>
      </c>
      <c r="U126" s="201"/>
      <c r="V126" s="226">
        <f>IF(C126="",NA(),IF(OR(C126="Smelter not listed",C126="Smelter not yet identified"),MATCH($B126&amp;$D126,'Smelter Look-up'!$J:$J,0),MATCH($B126&amp;$C126,'Smelter Look-up'!$J:$J,0)))</f>
        <v>74</v>
      </c>
      <c r="X126" s="227">
        <f t="shared" si="15"/>
        <v>0</v>
      </c>
      <c r="AB126" s="228" t="str">
        <f t="shared" si="16"/>
        <v>GoldEco-System Recycling Co., Ltd. East Plant</v>
      </c>
    </row>
    <row r="127" spans="1:28" s="227" customFormat="1" ht="81">
      <c r="A127" s="301" t="s">
        <v>393</v>
      </c>
      <c r="B127" s="293" t="s">
        <v>1119</v>
      </c>
      <c r="C127" s="294" t="s">
        <v>13813</v>
      </c>
      <c r="D127" s="295" t="s">
        <v>13813</v>
      </c>
      <c r="E127" s="293" t="s">
        <v>1098</v>
      </c>
      <c r="F127" s="293" t="s">
        <v>393</v>
      </c>
      <c r="G127" s="293" t="s">
        <v>13217</v>
      </c>
      <c r="H127" s="296" t="s">
        <v>15855</v>
      </c>
      <c r="I127" s="297" t="s">
        <v>1572</v>
      </c>
      <c r="J127" s="297" t="s">
        <v>1573</v>
      </c>
      <c r="K127" s="298" t="s">
        <v>15971</v>
      </c>
      <c r="L127" s="298" t="s">
        <v>15972</v>
      </c>
      <c r="M127" s="298" t="s">
        <v>15973</v>
      </c>
      <c r="N127" s="298" t="s">
        <v>15876</v>
      </c>
      <c r="O127" s="298" t="s">
        <v>15879</v>
      </c>
      <c r="P127" s="299" t="s">
        <v>15875</v>
      </c>
      <c r="Q127" s="300" t="s">
        <v>15855</v>
      </c>
      <c r="R127" s="182" t="str">
        <f ca="1">IF(ISERROR($V127),"",OFFSET('Smelter Look-up'!$C$4,$V127-4,0)&amp;"")</f>
        <v>Eco-System Recycling Co., Ltd. East Plant</v>
      </c>
      <c r="S127" s="181" t="str">
        <f t="shared" ca="1" si="14"/>
        <v>JP</v>
      </c>
      <c r="T127" s="181" t="str">
        <f ca="1">IF(B127="","",IF(ISERROR(MATCH($J127,SorP!$B$1:$B$6226,0)),"",INDIRECT("'SorP'!$A$"&amp;MATCH($S127&amp;$J127,SorP!C:C,0))))</f>
        <v>JP-11</v>
      </c>
      <c r="U127" s="201"/>
      <c r="V127" s="226">
        <f>IF(C127="",NA(),IF(OR(C127="Smelter not listed",C127="Smelter not yet identified"),MATCH($B127&amp;$D127,'Smelter Look-up'!$J:$J,0),MATCH($B127&amp;$C127,'Smelter Look-up'!$J:$J,0)))</f>
        <v>74</v>
      </c>
      <c r="X127" s="227">
        <f t="shared" si="15"/>
        <v>0</v>
      </c>
      <c r="AB127" s="228" t="str">
        <f t="shared" si="16"/>
        <v>GoldEco-System Recycling Co., Ltd. East Plant</v>
      </c>
    </row>
    <row r="128" spans="1:28" s="227" customFormat="1" ht="94.5">
      <c r="A128" s="301" t="s">
        <v>13834</v>
      </c>
      <c r="B128" s="293" t="s">
        <v>1119</v>
      </c>
      <c r="C128" s="294" t="s">
        <v>13814</v>
      </c>
      <c r="D128" s="295" t="s">
        <v>13814</v>
      </c>
      <c r="E128" s="293" t="s">
        <v>1098</v>
      </c>
      <c r="F128" s="293" t="s">
        <v>13834</v>
      </c>
      <c r="G128" s="293" t="s">
        <v>13217</v>
      </c>
      <c r="H128" s="296" t="s">
        <v>15855</v>
      </c>
      <c r="I128" s="297" t="s">
        <v>13848</v>
      </c>
      <c r="J128" s="297" t="s">
        <v>1568</v>
      </c>
      <c r="K128" s="298" t="s">
        <v>15855</v>
      </c>
      <c r="L128" s="298" t="s">
        <v>15855</v>
      </c>
      <c r="M128" s="298" t="s">
        <v>15855</v>
      </c>
      <c r="N128" s="298" t="s">
        <v>15855</v>
      </c>
      <c r="O128" s="298" t="s">
        <v>15855</v>
      </c>
      <c r="P128" s="299" t="s">
        <v>15857</v>
      </c>
      <c r="Q128" s="300" t="s">
        <v>15855</v>
      </c>
      <c r="R128" s="182" t="str">
        <f ca="1">IF(ISERROR($V128),"",OFFSET('Smelter Look-up'!$C$4,$V128-4,0)&amp;"")</f>
        <v>Eco-System Recycling Co., Ltd. North Plant</v>
      </c>
      <c r="S128" s="181" t="str">
        <f t="shared" ca="1" si="14"/>
        <v>JP</v>
      </c>
      <c r="T128" s="181" t="str">
        <f ca="1">IF(B128="","",IF(ISERROR(MATCH($J128,SorP!$B$1:$B$6226,0)),"",INDIRECT("'SorP'!$A$"&amp;MATCH($S128&amp;$J128,SorP!C:C,0))))</f>
        <v>JP-05</v>
      </c>
      <c r="U128" s="201"/>
      <c r="V128" s="226">
        <f>IF(C128="",NA(),IF(OR(C128="Smelter not listed",C128="Smelter not yet identified"),MATCH($B128&amp;$D128,'Smelter Look-up'!$J:$J,0),MATCH($B128&amp;$C128,'Smelter Look-up'!$J:$J,0)))</f>
        <v>75</v>
      </c>
      <c r="X128" s="227">
        <f t="shared" si="15"/>
        <v>0</v>
      </c>
      <c r="AB128" s="228" t="str">
        <f t="shared" si="16"/>
        <v>GoldEco-System Recycling Co., Ltd. North Plant</v>
      </c>
    </row>
    <row r="129" spans="1:28" s="227" customFormat="1" ht="94.5">
      <c r="A129" s="301" t="s">
        <v>13834</v>
      </c>
      <c r="B129" s="293" t="s">
        <v>1119</v>
      </c>
      <c r="C129" s="294" t="s">
        <v>13814</v>
      </c>
      <c r="D129" s="295" t="s">
        <v>13814</v>
      </c>
      <c r="E129" s="293" t="s">
        <v>1098</v>
      </c>
      <c r="F129" s="293" t="s">
        <v>13834</v>
      </c>
      <c r="G129" s="293" t="s">
        <v>13217</v>
      </c>
      <c r="H129" s="296" t="s">
        <v>15855</v>
      </c>
      <c r="I129" s="297" t="s">
        <v>13848</v>
      </c>
      <c r="J129" s="297" t="s">
        <v>1568</v>
      </c>
      <c r="K129" s="298" t="s">
        <v>15855</v>
      </c>
      <c r="L129" s="298" t="s">
        <v>15855</v>
      </c>
      <c r="M129" s="298" t="s">
        <v>15855</v>
      </c>
      <c r="N129" s="298" t="s">
        <v>15855</v>
      </c>
      <c r="O129" s="298" t="s">
        <v>15925</v>
      </c>
      <c r="P129" s="299" t="s">
        <v>15857</v>
      </c>
      <c r="Q129" s="300" t="s">
        <v>15855</v>
      </c>
      <c r="R129" s="182" t="str">
        <f ca="1">IF(ISERROR($V129),"",OFFSET('Smelter Look-up'!$C$4,$V129-4,0)&amp;"")</f>
        <v>Eco-System Recycling Co., Ltd. North Plant</v>
      </c>
      <c r="S129" s="181" t="str">
        <f t="shared" ca="1" si="14"/>
        <v>JP</v>
      </c>
      <c r="T129" s="181" t="str">
        <f ca="1">IF(B129="","",IF(ISERROR(MATCH($J129,SorP!$B$1:$B$6226,0)),"",INDIRECT("'SorP'!$A$"&amp;MATCH($S129&amp;$J129,SorP!C:C,0))))</f>
        <v>JP-05</v>
      </c>
      <c r="U129" s="201"/>
      <c r="V129" s="226">
        <f>IF(C129="",NA(),IF(OR(C129="Smelter not listed",C129="Smelter not yet identified"),MATCH($B129&amp;$D129,'Smelter Look-up'!$J:$J,0),MATCH($B129&amp;$C129,'Smelter Look-up'!$J:$J,0)))</f>
        <v>75</v>
      </c>
      <c r="X129" s="227">
        <f t="shared" si="15"/>
        <v>0</v>
      </c>
      <c r="AB129" s="228" t="str">
        <f t="shared" si="16"/>
        <v>GoldEco-System Recycling Co., Ltd. North Plant</v>
      </c>
    </row>
    <row r="130" spans="1:28" s="227" customFormat="1" ht="94.5">
      <c r="A130" s="301" t="s">
        <v>13834</v>
      </c>
      <c r="B130" s="293" t="s">
        <v>1119</v>
      </c>
      <c r="C130" s="294" t="s">
        <v>13814</v>
      </c>
      <c r="D130" s="295" t="s">
        <v>13814</v>
      </c>
      <c r="E130" s="293" t="s">
        <v>1098</v>
      </c>
      <c r="F130" s="293" t="s">
        <v>13834</v>
      </c>
      <c r="G130" s="293" t="s">
        <v>13217</v>
      </c>
      <c r="H130" s="296" t="s">
        <v>15855</v>
      </c>
      <c r="I130" s="297" t="s">
        <v>13848</v>
      </c>
      <c r="J130" s="297" t="s">
        <v>1568</v>
      </c>
      <c r="K130" s="298" t="s">
        <v>15971</v>
      </c>
      <c r="L130" s="298" t="s">
        <v>15972</v>
      </c>
      <c r="M130" s="298" t="s">
        <v>15974</v>
      </c>
      <c r="N130" s="298" t="s">
        <v>15876</v>
      </c>
      <c r="O130" s="298" t="s">
        <v>15879</v>
      </c>
      <c r="P130" s="299" t="s">
        <v>15875</v>
      </c>
      <c r="Q130" s="300" t="s">
        <v>15855</v>
      </c>
      <c r="R130" s="182" t="str">
        <f ca="1">IF(ISERROR($V130),"",OFFSET('Smelter Look-up'!$C$4,$V130-4,0)&amp;"")</f>
        <v>Eco-System Recycling Co., Ltd. North Plant</v>
      </c>
      <c r="S130" s="181" t="str">
        <f t="shared" ca="1" si="14"/>
        <v>JP</v>
      </c>
      <c r="T130" s="181" t="str">
        <f ca="1">IF(B130="","",IF(ISERROR(MATCH($J130,SorP!$B$1:$B$6226,0)),"",INDIRECT("'SorP'!$A$"&amp;MATCH($S130&amp;$J130,SorP!C:C,0))))</f>
        <v>JP-05</v>
      </c>
      <c r="U130" s="201"/>
      <c r="V130" s="226">
        <f>IF(C130="",NA(),IF(OR(C130="Smelter not listed",C130="Smelter not yet identified"),MATCH($B130&amp;$D130,'Smelter Look-up'!$J:$J,0),MATCH($B130&amp;$C130,'Smelter Look-up'!$J:$J,0)))</f>
        <v>75</v>
      </c>
      <c r="X130" s="227">
        <f t="shared" si="15"/>
        <v>0</v>
      </c>
      <c r="AB130" s="228" t="str">
        <f t="shared" si="16"/>
        <v>GoldEco-System Recycling Co., Ltd. North Plant</v>
      </c>
    </row>
    <row r="131" spans="1:28" s="227" customFormat="1" ht="94.5">
      <c r="A131" s="301" t="s">
        <v>13835</v>
      </c>
      <c r="B131" s="293" t="s">
        <v>1119</v>
      </c>
      <c r="C131" s="294" t="s">
        <v>13815</v>
      </c>
      <c r="D131" s="295" t="s">
        <v>13815</v>
      </c>
      <c r="E131" s="293" t="s">
        <v>1098</v>
      </c>
      <c r="F131" s="293" t="s">
        <v>13835</v>
      </c>
      <c r="G131" s="293" t="s">
        <v>13217</v>
      </c>
      <c r="H131" s="296" t="s">
        <v>15855</v>
      </c>
      <c r="I131" s="297" t="s">
        <v>6665</v>
      </c>
      <c r="J131" s="297" t="s">
        <v>6665</v>
      </c>
      <c r="K131" s="298" t="s">
        <v>15855</v>
      </c>
      <c r="L131" s="298" t="s">
        <v>15855</v>
      </c>
      <c r="M131" s="298" t="s">
        <v>15855</v>
      </c>
      <c r="N131" s="298" t="s">
        <v>15855</v>
      </c>
      <c r="O131" s="298" t="s">
        <v>15855</v>
      </c>
      <c r="P131" s="299" t="s">
        <v>15857</v>
      </c>
      <c r="Q131" s="300" t="s">
        <v>15855</v>
      </c>
      <c r="R131" s="182" t="str">
        <f ca="1">IF(ISERROR($V131),"",OFFSET('Smelter Look-up'!$C$4,$V131-4,0)&amp;"")</f>
        <v>Eco-System Recycling Co., Ltd. West Plant</v>
      </c>
      <c r="S131" s="181" t="str">
        <f t="shared" ca="1" si="14"/>
        <v>JP</v>
      </c>
      <c r="T131" s="181" t="str">
        <f ca="1">IF(B131="","",IF(ISERROR(MATCH($J131,SorP!$B$1:$B$6226,0)),"",INDIRECT("'SorP'!$A$"&amp;MATCH($S131&amp;$J131,SorP!C:C,0))))</f>
        <v>JP-33</v>
      </c>
      <c r="U131" s="201"/>
      <c r="V131" s="226">
        <f>IF(C131="",NA(),IF(OR(C131="Smelter not listed",C131="Smelter not yet identified"),MATCH($B131&amp;$D131,'Smelter Look-up'!$J:$J,0),MATCH($B131&amp;$C131,'Smelter Look-up'!$J:$J,0)))</f>
        <v>76</v>
      </c>
      <c r="X131" s="227">
        <f t="shared" si="15"/>
        <v>0</v>
      </c>
      <c r="AB131" s="228" t="str">
        <f t="shared" si="16"/>
        <v>GoldEco-System Recycling Co., Ltd. West Plant</v>
      </c>
    </row>
    <row r="132" spans="1:28" s="227" customFormat="1" ht="94.5">
      <c r="A132" s="301" t="s">
        <v>13835</v>
      </c>
      <c r="B132" s="293" t="s">
        <v>1119</v>
      </c>
      <c r="C132" s="294" t="s">
        <v>13815</v>
      </c>
      <c r="D132" s="295" t="s">
        <v>13815</v>
      </c>
      <c r="E132" s="293" t="s">
        <v>1098</v>
      </c>
      <c r="F132" s="293" t="s">
        <v>13835</v>
      </c>
      <c r="G132" s="293" t="s">
        <v>13217</v>
      </c>
      <c r="H132" s="296" t="s">
        <v>15855</v>
      </c>
      <c r="I132" s="297" t="s">
        <v>6665</v>
      </c>
      <c r="J132" s="297" t="s">
        <v>6665</v>
      </c>
      <c r="K132" s="298" t="s">
        <v>15855</v>
      </c>
      <c r="L132" s="298" t="s">
        <v>15855</v>
      </c>
      <c r="M132" s="298" t="s">
        <v>15855</v>
      </c>
      <c r="N132" s="298" t="s">
        <v>15855</v>
      </c>
      <c r="O132" s="298" t="s">
        <v>15925</v>
      </c>
      <c r="P132" s="299" t="s">
        <v>15857</v>
      </c>
      <c r="Q132" s="300" t="s">
        <v>15855</v>
      </c>
      <c r="R132" s="182" t="str">
        <f ca="1">IF(ISERROR($V132),"",OFFSET('Smelter Look-up'!$C$4,$V132-4,0)&amp;"")</f>
        <v>Eco-System Recycling Co., Ltd. West Plant</v>
      </c>
      <c r="S132" s="181" t="str">
        <f t="shared" ca="1" si="14"/>
        <v>JP</v>
      </c>
      <c r="T132" s="181" t="str">
        <f ca="1">IF(B132="","",IF(ISERROR(MATCH($J132,SorP!$B$1:$B$6226,0)),"",INDIRECT("'SorP'!$A$"&amp;MATCH($S132&amp;$J132,SorP!C:C,0))))</f>
        <v>JP-33</v>
      </c>
      <c r="U132" s="201"/>
      <c r="V132" s="226">
        <f>IF(C132="",NA(),IF(OR(C132="Smelter not listed",C132="Smelter not yet identified"),MATCH($B132&amp;$D132,'Smelter Look-up'!$J:$J,0),MATCH($B132&amp;$C132,'Smelter Look-up'!$J:$J,0)))</f>
        <v>76</v>
      </c>
      <c r="X132" s="227">
        <f t="shared" si="15"/>
        <v>0</v>
      </c>
      <c r="AB132" s="228" t="str">
        <f t="shared" si="16"/>
        <v>GoldEco-System Recycling Co., Ltd. West Plant</v>
      </c>
    </row>
    <row r="133" spans="1:28" s="227" customFormat="1" ht="94.5">
      <c r="A133" s="301" t="s">
        <v>13835</v>
      </c>
      <c r="B133" s="293" t="s">
        <v>1119</v>
      </c>
      <c r="C133" s="294" t="s">
        <v>13815</v>
      </c>
      <c r="D133" s="295" t="s">
        <v>13815</v>
      </c>
      <c r="E133" s="293" t="s">
        <v>1098</v>
      </c>
      <c r="F133" s="293" t="s">
        <v>13835</v>
      </c>
      <c r="G133" s="293" t="s">
        <v>13217</v>
      </c>
      <c r="H133" s="296" t="s">
        <v>15855</v>
      </c>
      <c r="I133" s="297" t="s">
        <v>6665</v>
      </c>
      <c r="J133" s="297" t="s">
        <v>6665</v>
      </c>
      <c r="K133" s="298" t="s">
        <v>15971</v>
      </c>
      <c r="L133" s="298" t="s">
        <v>15972</v>
      </c>
      <c r="M133" s="298" t="s">
        <v>15975</v>
      </c>
      <c r="N133" s="298" t="s">
        <v>15876</v>
      </c>
      <c r="O133" s="298" t="s">
        <v>15879</v>
      </c>
      <c r="P133" s="299" t="s">
        <v>15875</v>
      </c>
      <c r="Q133" s="300" t="s">
        <v>15855</v>
      </c>
      <c r="R133" s="182" t="str">
        <f ca="1">IF(ISERROR($V133),"",OFFSET('Smelter Look-up'!$C$4,$V133-4,0)&amp;"")</f>
        <v>Eco-System Recycling Co., Ltd. West Plant</v>
      </c>
      <c r="S133" s="181" t="str">
        <f t="shared" ref="S133" ca="1" si="17">IF(B133="","",IF(ISERROR(MATCH($E133,CL,0)),"Unknown",INDIRECT("'C'!$A$"&amp;MATCH($E133,CL,0)+1)))</f>
        <v>JP</v>
      </c>
      <c r="T133" s="181" t="str">
        <f ca="1">IF(B133="","",IF(ISERROR(MATCH($J133,SorP!$B$1:$B$6226,0)),"",INDIRECT("'SorP'!$A$"&amp;MATCH($S133&amp;$J133,SorP!C:C,0))))</f>
        <v>JP-33</v>
      </c>
      <c r="U133" s="201"/>
      <c r="V133" s="226">
        <f>IF(C133="",NA(),IF(OR(C133="Smelter not listed",C133="Smelter not yet identified"),MATCH($B133&amp;$D133,'Smelter Look-up'!$J:$J,0),MATCH($B133&amp;$C133,'Smelter Look-up'!$J:$J,0)))</f>
        <v>76</v>
      </c>
      <c r="X133" s="227">
        <f t="shared" ref="X133" si="18">IF(AND(C133="Smelter not listed",OR(LEN(D133)=0,LEN(E133)=0)),1,0)</f>
        <v>0</v>
      </c>
      <c r="AB133" s="228" t="str">
        <f t="shared" ref="AB133" si="19">B133&amp;C133</f>
        <v>GoldEco-System Recycling Co., Ltd. West Plant</v>
      </c>
    </row>
    <row r="134" spans="1:28" s="227" customFormat="1" ht="94.5">
      <c r="A134" s="301" t="s">
        <v>15022</v>
      </c>
      <c r="B134" s="293" t="s">
        <v>1119</v>
      </c>
      <c r="C134" s="294" t="s">
        <v>15021</v>
      </c>
      <c r="D134" s="295" t="s">
        <v>15021</v>
      </c>
      <c r="E134" s="293" t="s">
        <v>1096</v>
      </c>
      <c r="F134" s="293" t="s">
        <v>15022</v>
      </c>
      <c r="G134" s="293" t="s">
        <v>13217</v>
      </c>
      <c r="H134" s="296" t="s">
        <v>15855</v>
      </c>
      <c r="I134" s="297" t="s">
        <v>15100</v>
      </c>
      <c r="J134" s="297" t="s">
        <v>15552</v>
      </c>
      <c r="K134" s="298" t="s">
        <v>15855</v>
      </c>
      <c r="L134" s="298" t="s">
        <v>15855</v>
      </c>
      <c r="M134" s="298" t="s">
        <v>15855</v>
      </c>
      <c r="N134" s="298" t="s">
        <v>15855</v>
      </c>
      <c r="O134" s="298" t="s">
        <v>15858</v>
      </c>
      <c r="P134" s="299" t="s">
        <v>15857</v>
      </c>
      <c r="Q134" s="300" t="s">
        <v>15855</v>
      </c>
      <c r="R134" s="182" t="str">
        <f ca="1">IF(ISERROR($V134),"",OFFSET('Smelter Look-up'!$C$4,$V134-4,0)&amp;"")</f>
        <v>Emerald Jewel Industry India Limited (Unit 1)</v>
      </c>
      <c r="S134" s="181" t="str">
        <f t="shared" ref="S134:S165" ca="1" si="20">IF(B134="","",IF(ISERROR(MATCH($E134,CL,0)),"Unknown",INDIRECT("'C'!$A$"&amp;MATCH($E134,CL,0)+1)))</f>
        <v>IN</v>
      </c>
      <c r="T134" s="181" t="str">
        <f ca="1">IF(B134="","",IF(ISERROR(MATCH($J134,SorP!$B$1:$B$6226,0)),"",INDIRECT("'SorP'!$A$"&amp;MATCH($S134&amp;$J134,SorP!C:C,0))))</f>
        <v>IN-TN</v>
      </c>
      <c r="U134" s="201"/>
      <c r="V134" s="226">
        <f>IF(C134="",NA(),IF(OR(C134="Smelter not listed",C134="Smelter not yet identified"),MATCH($B134&amp;$D134,'Smelter Look-up'!$J:$J,0),MATCH($B134&amp;$C134,'Smelter Look-up'!$J:$J,0)))</f>
        <v>80</v>
      </c>
      <c r="X134" s="227">
        <f t="shared" ref="X134:X165" si="21">IF(AND(C134="Smelter not listed",OR(LEN(D134)=0,LEN(E134)=0)),1,0)</f>
        <v>0</v>
      </c>
      <c r="AB134" s="228" t="str">
        <f t="shared" ref="AB134:AB165" si="22">B134&amp;C134</f>
        <v>GoldEmerald Jewel Industry India Limited (Unit 1)</v>
      </c>
    </row>
    <row r="135" spans="1:28" s="227" customFormat="1" ht="94.5">
      <c r="A135" s="301" t="s">
        <v>15024</v>
      </c>
      <c r="B135" s="293" t="s">
        <v>1119</v>
      </c>
      <c r="C135" s="294" t="s">
        <v>15023</v>
      </c>
      <c r="D135" s="295" t="s">
        <v>15023</v>
      </c>
      <c r="E135" s="293" t="s">
        <v>1096</v>
      </c>
      <c r="F135" s="293" t="s">
        <v>15024</v>
      </c>
      <c r="G135" s="293" t="s">
        <v>13217</v>
      </c>
      <c r="H135" s="296" t="s">
        <v>15855</v>
      </c>
      <c r="I135" s="297" t="s">
        <v>15100</v>
      </c>
      <c r="J135" s="297" t="s">
        <v>15552</v>
      </c>
      <c r="K135" s="298" t="s">
        <v>15855</v>
      </c>
      <c r="L135" s="298" t="s">
        <v>15855</v>
      </c>
      <c r="M135" s="298" t="s">
        <v>15855</v>
      </c>
      <c r="N135" s="298" t="s">
        <v>15855</v>
      </c>
      <c r="O135" s="298" t="s">
        <v>15858</v>
      </c>
      <c r="P135" s="299" t="s">
        <v>15857</v>
      </c>
      <c r="Q135" s="300" t="s">
        <v>15855</v>
      </c>
      <c r="R135" s="182" t="str">
        <f ca="1">IF(ISERROR($V135),"",OFFSET('Smelter Look-up'!$C$4,$V135-4,0)&amp;"")</f>
        <v>Emerald Jewel Industry India Limited (Unit 2)</v>
      </c>
      <c r="S135" s="181" t="str">
        <f t="shared" ca="1" si="20"/>
        <v>IN</v>
      </c>
      <c r="T135" s="181" t="str">
        <f ca="1">IF(B135="","",IF(ISERROR(MATCH($J135,SorP!$B$1:$B$6226,0)),"",INDIRECT("'SorP'!$A$"&amp;MATCH($S135&amp;$J135,SorP!C:C,0))))</f>
        <v>IN-TN</v>
      </c>
      <c r="U135" s="201"/>
      <c r="V135" s="226">
        <f>IF(C135="",NA(),IF(OR(C135="Smelter not listed",C135="Smelter not yet identified"),MATCH($B135&amp;$D135,'Smelter Look-up'!$J:$J,0),MATCH($B135&amp;$C135,'Smelter Look-up'!$J:$J,0)))</f>
        <v>81</v>
      </c>
      <c r="X135" s="227">
        <f t="shared" si="21"/>
        <v>0</v>
      </c>
      <c r="AB135" s="228" t="str">
        <f t="shared" si="22"/>
        <v>GoldEmerald Jewel Industry India Limited (Unit 2)</v>
      </c>
    </row>
    <row r="136" spans="1:28" s="227" customFormat="1" ht="94.5">
      <c r="A136" s="301" t="s">
        <v>15026</v>
      </c>
      <c r="B136" s="293" t="s">
        <v>1119</v>
      </c>
      <c r="C136" s="294" t="s">
        <v>15025</v>
      </c>
      <c r="D136" s="295" t="s">
        <v>15025</v>
      </c>
      <c r="E136" s="293" t="s">
        <v>1096</v>
      </c>
      <c r="F136" s="293" t="s">
        <v>15026</v>
      </c>
      <c r="G136" s="293" t="s">
        <v>13217</v>
      </c>
      <c r="H136" s="296" t="s">
        <v>15855</v>
      </c>
      <c r="I136" s="297" t="s">
        <v>15100</v>
      </c>
      <c r="J136" s="297" t="s">
        <v>15552</v>
      </c>
      <c r="K136" s="298" t="s">
        <v>15855</v>
      </c>
      <c r="L136" s="298" t="s">
        <v>15855</v>
      </c>
      <c r="M136" s="298" t="s">
        <v>15855</v>
      </c>
      <c r="N136" s="298" t="s">
        <v>15855</v>
      </c>
      <c r="O136" s="298" t="s">
        <v>15858</v>
      </c>
      <c r="P136" s="299" t="s">
        <v>15857</v>
      </c>
      <c r="Q136" s="300" t="s">
        <v>15855</v>
      </c>
      <c r="R136" s="182" t="str">
        <f ca="1">IF(ISERROR($V136),"",OFFSET('Smelter Look-up'!$C$4,$V136-4,0)&amp;"")</f>
        <v>Emerald Jewel Industry India Limited (Unit 3)</v>
      </c>
      <c r="S136" s="181" t="str">
        <f t="shared" ca="1" si="20"/>
        <v>IN</v>
      </c>
      <c r="T136" s="181" t="str">
        <f ca="1">IF(B136="","",IF(ISERROR(MATCH($J136,SorP!$B$1:$B$6226,0)),"",INDIRECT("'SorP'!$A$"&amp;MATCH($S136&amp;$J136,SorP!C:C,0))))</f>
        <v>IN-TN</v>
      </c>
      <c r="U136" s="201"/>
      <c r="V136" s="226">
        <f>IF(C136="",NA(),IF(OR(C136="Smelter not listed",C136="Smelter not yet identified"),MATCH($B136&amp;$D136,'Smelter Look-up'!$J:$J,0),MATCH($B136&amp;$C136,'Smelter Look-up'!$J:$J,0)))</f>
        <v>82</v>
      </c>
      <c r="X136" s="227">
        <f t="shared" si="21"/>
        <v>0</v>
      </c>
      <c r="AB136" s="228" t="str">
        <f t="shared" si="22"/>
        <v>GoldEmerald Jewel Industry India Limited (Unit 3)</v>
      </c>
    </row>
    <row r="137" spans="1:28" s="227" customFormat="1" ht="94.5">
      <c r="A137" s="301" t="s">
        <v>15028</v>
      </c>
      <c r="B137" s="293" t="s">
        <v>1119</v>
      </c>
      <c r="C137" s="294" t="s">
        <v>15027</v>
      </c>
      <c r="D137" s="295" t="s">
        <v>15027</v>
      </c>
      <c r="E137" s="293" t="s">
        <v>1096</v>
      </c>
      <c r="F137" s="293" t="s">
        <v>15028</v>
      </c>
      <c r="G137" s="293" t="s">
        <v>13217</v>
      </c>
      <c r="H137" s="296" t="s">
        <v>15855</v>
      </c>
      <c r="I137" s="297" t="s">
        <v>15100</v>
      </c>
      <c r="J137" s="297" t="s">
        <v>15552</v>
      </c>
      <c r="K137" s="298" t="s">
        <v>15855</v>
      </c>
      <c r="L137" s="298" t="s">
        <v>15855</v>
      </c>
      <c r="M137" s="298" t="s">
        <v>15855</v>
      </c>
      <c r="N137" s="298" t="s">
        <v>15855</v>
      </c>
      <c r="O137" s="298" t="s">
        <v>15858</v>
      </c>
      <c r="P137" s="299" t="s">
        <v>15857</v>
      </c>
      <c r="Q137" s="300" t="s">
        <v>15855</v>
      </c>
      <c r="R137" s="182" t="str">
        <f ca="1">IF(ISERROR($V137),"",OFFSET('Smelter Look-up'!$C$4,$V137-4,0)&amp;"")</f>
        <v>Emerald Jewel Industry India Limited (Unit 4)</v>
      </c>
      <c r="S137" s="181" t="str">
        <f t="shared" ca="1" si="20"/>
        <v>IN</v>
      </c>
      <c r="T137" s="181" t="str">
        <f ca="1">IF(B137="","",IF(ISERROR(MATCH($J137,SorP!$B$1:$B$6226,0)),"",INDIRECT("'SorP'!$A$"&amp;MATCH($S137&amp;$J137,SorP!C:C,0))))</f>
        <v>IN-TN</v>
      </c>
      <c r="U137" s="201"/>
      <c r="V137" s="226">
        <f>IF(C137="",NA(),IF(OR(C137="Smelter not listed",C137="Smelter not yet identified"),MATCH($B137&amp;$D137,'Smelter Look-up'!$J:$J,0),MATCH($B137&amp;$C137,'Smelter Look-up'!$J:$J,0)))</f>
        <v>83</v>
      </c>
      <c r="X137" s="227">
        <f t="shared" si="21"/>
        <v>0</v>
      </c>
      <c r="AB137" s="228" t="str">
        <f t="shared" si="22"/>
        <v>GoldEmerald Jewel Industry India Limited (Unit 4)</v>
      </c>
    </row>
    <row r="138" spans="1:28" s="227" customFormat="1" ht="54">
      <c r="A138" s="301" t="s">
        <v>1696</v>
      </c>
      <c r="B138" s="293" t="s">
        <v>1119</v>
      </c>
      <c r="C138" s="294" t="s">
        <v>1695</v>
      </c>
      <c r="D138" s="295" t="s">
        <v>1695</v>
      </c>
      <c r="E138" s="293" t="s">
        <v>1082</v>
      </c>
      <c r="F138" s="293" t="s">
        <v>1696</v>
      </c>
      <c r="G138" s="293" t="s">
        <v>13217</v>
      </c>
      <c r="H138" s="296" t="s">
        <v>15855</v>
      </c>
      <c r="I138" s="297" t="s">
        <v>1694</v>
      </c>
      <c r="J138" s="297" t="s">
        <v>2555</v>
      </c>
      <c r="K138" s="298" t="s">
        <v>15855</v>
      </c>
      <c r="L138" s="298" t="s">
        <v>15855</v>
      </c>
      <c r="M138" s="298" t="s">
        <v>15855</v>
      </c>
      <c r="N138" s="298" t="s">
        <v>15855</v>
      </c>
      <c r="O138" s="298" t="s">
        <v>15855</v>
      </c>
      <c r="P138" s="299" t="s">
        <v>15857</v>
      </c>
      <c r="Q138" s="300" t="s">
        <v>15855</v>
      </c>
      <c r="R138" s="182" t="str">
        <f ca="1">IF(ISERROR($V138),"",OFFSET('Smelter Look-up'!$C$4,$V138-4,0)&amp;"")</f>
        <v>Emirates Gold DMCC</v>
      </c>
      <c r="S138" s="181" t="str">
        <f t="shared" ca="1" si="20"/>
        <v>AE</v>
      </c>
      <c r="T138" s="181" t="str">
        <f ca="1">IF(B138="","",IF(ISERROR(MATCH($J138,SorP!$B$1:$B$6226,0)),"",INDIRECT("'SorP'!$A$"&amp;MATCH($S138&amp;$J138,SorP!C:C,0))))</f>
        <v>AE-DU</v>
      </c>
      <c r="U138" s="201"/>
      <c r="V138" s="226">
        <f>IF(C138="",NA(),IF(OR(C138="Smelter not listed",C138="Smelter not yet identified"),MATCH($B138&amp;$D138,'Smelter Look-up'!$J:$J,0),MATCH($B138&amp;$C138,'Smelter Look-up'!$J:$J,0)))</f>
        <v>84</v>
      </c>
      <c r="X138" s="227">
        <f t="shared" si="21"/>
        <v>0</v>
      </c>
      <c r="AB138" s="228" t="str">
        <f t="shared" si="22"/>
        <v>GoldEmirates Gold DMCC</v>
      </c>
    </row>
    <row r="139" spans="1:28" s="227" customFormat="1" ht="54">
      <c r="A139" s="301" t="s">
        <v>1696</v>
      </c>
      <c r="B139" s="293" t="s">
        <v>1119</v>
      </c>
      <c r="C139" s="294" t="s">
        <v>1695</v>
      </c>
      <c r="D139" s="295" t="s">
        <v>1695</v>
      </c>
      <c r="E139" s="293" t="s">
        <v>1082</v>
      </c>
      <c r="F139" s="293" t="s">
        <v>1696</v>
      </c>
      <c r="G139" s="293" t="s">
        <v>13217</v>
      </c>
      <c r="H139" s="296" t="s">
        <v>15855</v>
      </c>
      <c r="I139" s="297" t="s">
        <v>1694</v>
      </c>
      <c r="J139" s="297" t="s">
        <v>2555</v>
      </c>
      <c r="K139" s="298" t="s">
        <v>15855</v>
      </c>
      <c r="L139" s="298" t="s">
        <v>15855</v>
      </c>
      <c r="M139" s="298" t="s">
        <v>15855</v>
      </c>
      <c r="N139" s="298" t="s">
        <v>15855</v>
      </c>
      <c r="O139" s="298" t="s">
        <v>15866</v>
      </c>
      <c r="P139" s="299" t="s">
        <v>15857</v>
      </c>
      <c r="Q139" s="300" t="s">
        <v>15855</v>
      </c>
      <c r="R139" s="182" t="str">
        <f ca="1">IF(ISERROR($V139),"",OFFSET('Smelter Look-up'!$C$4,$V139-4,0)&amp;"")</f>
        <v>Emirates Gold DMCC</v>
      </c>
      <c r="S139" s="181" t="str">
        <f t="shared" ca="1" si="20"/>
        <v>AE</v>
      </c>
      <c r="T139" s="181" t="str">
        <f ca="1">IF(B139="","",IF(ISERROR(MATCH($J139,SorP!$B$1:$B$6226,0)),"",INDIRECT("'SorP'!$A$"&amp;MATCH($S139&amp;$J139,SorP!C:C,0))))</f>
        <v>AE-DU</v>
      </c>
      <c r="U139" s="201"/>
      <c r="V139" s="226">
        <f>IF(C139="",NA(),IF(OR(C139="Smelter not listed",C139="Smelter not yet identified"),MATCH($B139&amp;$D139,'Smelter Look-up'!$J:$J,0),MATCH($B139&amp;$C139,'Smelter Look-up'!$J:$J,0)))</f>
        <v>84</v>
      </c>
      <c r="X139" s="227">
        <f t="shared" si="21"/>
        <v>0</v>
      </c>
      <c r="AB139" s="228" t="str">
        <f t="shared" si="22"/>
        <v>GoldEmirates Gold DMCC</v>
      </c>
    </row>
    <row r="140" spans="1:28" s="227" customFormat="1" ht="54">
      <c r="A140" s="301" t="s">
        <v>1696</v>
      </c>
      <c r="B140" s="293" t="s">
        <v>1119</v>
      </c>
      <c r="C140" s="294" t="s">
        <v>1695</v>
      </c>
      <c r="D140" s="295" t="s">
        <v>1695</v>
      </c>
      <c r="E140" s="293" t="s">
        <v>1082</v>
      </c>
      <c r="F140" s="293" t="s">
        <v>1696</v>
      </c>
      <c r="G140" s="293" t="s">
        <v>13217</v>
      </c>
      <c r="H140" s="296" t="s">
        <v>15855</v>
      </c>
      <c r="I140" s="297" t="s">
        <v>1694</v>
      </c>
      <c r="J140" s="297" t="s">
        <v>2555</v>
      </c>
      <c r="K140" s="298" t="s">
        <v>15976</v>
      </c>
      <c r="L140" s="298" t="s">
        <v>15977</v>
      </c>
      <c r="M140" s="298" t="s">
        <v>15869</v>
      </c>
      <c r="N140" s="298" t="s">
        <v>15870</v>
      </c>
      <c r="O140" s="298" t="s">
        <v>15978</v>
      </c>
      <c r="P140" s="299" t="s">
        <v>15857</v>
      </c>
      <c r="Q140" s="300" t="s">
        <v>15855</v>
      </c>
      <c r="R140" s="182" t="str">
        <f ca="1">IF(ISERROR($V140),"",OFFSET('Smelter Look-up'!$C$4,$V140-4,0)&amp;"")</f>
        <v>Emirates Gold DMCC</v>
      </c>
      <c r="S140" s="181" t="str">
        <f t="shared" ca="1" si="20"/>
        <v>AE</v>
      </c>
      <c r="T140" s="181" t="str">
        <f ca="1">IF(B140="","",IF(ISERROR(MATCH($J140,SorP!$B$1:$B$6226,0)),"",INDIRECT("'SorP'!$A$"&amp;MATCH($S140&amp;$J140,SorP!C:C,0))))</f>
        <v>AE-DU</v>
      </c>
      <c r="U140" s="201"/>
      <c r="V140" s="226">
        <f>IF(C140="",NA(),IF(OR(C140="Smelter not listed",C140="Smelter not yet identified"),MATCH($B140&amp;$D140,'Smelter Look-up'!$J:$J,0),MATCH($B140&amp;$C140,'Smelter Look-up'!$J:$J,0)))</f>
        <v>84</v>
      </c>
      <c r="X140" s="227">
        <f t="shared" si="21"/>
        <v>0</v>
      </c>
      <c r="AB140" s="228" t="str">
        <f t="shared" si="22"/>
        <v>GoldEmirates Gold DMCC</v>
      </c>
    </row>
    <row r="141" spans="1:28" s="227" customFormat="1" ht="40.5">
      <c r="A141" s="301" t="s">
        <v>15979</v>
      </c>
      <c r="B141" s="293" t="s">
        <v>1119</v>
      </c>
      <c r="C141" s="294" t="s">
        <v>15980</v>
      </c>
      <c r="D141" s="295" t="s">
        <v>15980</v>
      </c>
      <c r="E141" s="293" t="s">
        <v>1097</v>
      </c>
      <c r="F141" s="293" t="s">
        <v>15979</v>
      </c>
      <c r="G141" s="293" t="s">
        <v>15864</v>
      </c>
      <c r="H141" s="296" t="s">
        <v>15855</v>
      </c>
      <c r="I141" s="297" t="s">
        <v>15981</v>
      </c>
      <c r="J141" s="297" t="s">
        <v>15982</v>
      </c>
      <c r="K141" s="298" t="s">
        <v>15855</v>
      </c>
      <c r="L141" s="298" t="s">
        <v>15855</v>
      </c>
      <c r="M141" s="298" t="s">
        <v>15855</v>
      </c>
      <c r="N141" s="298" t="s">
        <v>15855</v>
      </c>
      <c r="O141" s="298" t="s">
        <v>15855</v>
      </c>
      <c r="P141" s="299" t="s">
        <v>15857</v>
      </c>
      <c r="Q141" s="300" t="s">
        <v>15855</v>
      </c>
      <c r="R141" s="182" t="str">
        <f ca="1">IF(ISERROR($V141),"",OFFSET('Smelter Look-up'!$C$4,$V141-4,0)&amp;"")</f>
        <v/>
      </c>
      <c r="S141" s="181" t="str">
        <f t="shared" ca="1" si="20"/>
        <v>IT</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si="21"/>
        <v>0</v>
      </c>
      <c r="AB141" s="228" t="str">
        <f t="shared" si="22"/>
        <v>GoldFaggi Enrico S.p.A.</v>
      </c>
    </row>
    <row r="142" spans="1:28" s="227" customFormat="1" ht="81">
      <c r="A142" s="301" t="s">
        <v>1375</v>
      </c>
      <c r="B142" s="293" t="s">
        <v>1119</v>
      </c>
      <c r="C142" s="294" t="s">
        <v>1374</v>
      </c>
      <c r="D142" s="295" t="s">
        <v>1374</v>
      </c>
      <c r="E142" s="293" t="s">
        <v>885</v>
      </c>
      <c r="F142" s="293" t="s">
        <v>1375</v>
      </c>
      <c r="G142" s="293" t="s">
        <v>13217</v>
      </c>
      <c r="H142" s="296" t="s">
        <v>15855</v>
      </c>
      <c r="I142" s="297" t="s">
        <v>1688</v>
      </c>
      <c r="J142" s="297" t="s">
        <v>1689</v>
      </c>
      <c r="K142" s="298" t="s">
        <v>15855</v>
      </c>
      <c r="L142" s="298" t="s">
        <v>15855</v>
      </c>
      <c r="M142" s="298" t="s">
        <v>15855</v>
      </c>
      <c r="N142" s="298" t="s">
        <v>15855</v>
      </c>
      <c r="O142" s="298" t="s">
        <v>15858</v>
      </c>
      <c r="P142" s="299" t="s">
        <v>15857</v>
      </c>
      <c r="Q142" s="300" t="s">
        <v>15855</v>
      </c>
      <c r="R142" s="182" t="str">
        <f ca="1">IF(ISERROR($V142),"",OFFSET('Smelter Look-up'!$C$4,$V142-4,0)&amp;"")</f>
        <v>Fidelity Printers and Refiners Ltd.</v>
      </c>
      <c r="S142" s="181" t="str">
        <f t="shared" ca="1" si="20"/>
        <v>ZW</v>
      </c>
      <c r="T142" s="181" t="str">
        <f ca="1">IF(B142="","",IF(ISERROR(MATCH($J142,SorP!$B$1:$B$6226,0)),"",INDIRECT("'SorP'!$A$"&amp;MATCH($S142&amp;$J142,SorP!C:C,0))))</f>
        <v>ZW-HA</v>
      </c>
      <c r="U142" s="201"/>
      <c r="V142" s="226">
        <f>IF(C142="",NA(),IF(OR(C142="Smelter not listed",C142="Smelter not yet identified"),MATCH($B142&amp;$D142,'Smelter Look-up'!$J:$J,0),MATCH($B142&amp;$C142,'Smelter Look-up'!$J:$J,0)))</f>
        <v>86</v>
      </c>
      <c r="X142" s="227">
        <f t="shared" si="21"/>
        <v>0</v>
      </c>
      <c r="AB142" s="228" t="str">
        <f t="shared" si="22"/>
        <v>GoldFidelity Printers and Refiners Ltd.</v>
      </c>
    </row>
    <row r="143" spans="1:28" s="227" customFormat="1" ht="40.5">
      <c r="A143" s="301" t="s">
        <v>13766</v>
      </c>
      <c r="B143" s="293" t="s">
        <v>1119</v>
      </c>
      <c r="C143" s="294" t="s">
        <v>13765</v>
      </c>
      <c r="D143" s="295" t="s">
        <v>13765</v>
      </c>
      <c r="E143" s="293" t="s">
        <v>1082</v>
      </c>
      <c r="F143" s="293" t="s">
        <v>13766</v>
      </c>
      <c r="G143" s="293" t="s">
        <v>13217</v>
      </c>
      <c r="H143" s="296" t="s">
        <v>15855</v>
      </c>
      <c r="I143" s="297" t="s">
        <v>13800</v>
      </c>
      <c r="J143" s="297" t="s">
        <v>2553</v>
      </c>
      <c r="K143" s="298" t="s">
        <v>15855</v>
      </c>
      <c r="L143" s="298" t="s">
        <v>15855</v>
      </c>
      <c r="M143" s="298" t="s">
        <v>15855</v>
      </c>
      <c r="N143" s="298" t="s">
        <v>15855</v>
      </c>
      <c r="O143" s="298" t="s">
        <v>15858</v>
      </c>
      <c r="P143" s="299" t="s">
        <v>15857</v>
      </c>
      <c r="Q143" s="300" t="s">
        <v>15855</v>
      </c>
      <c r="R143" s="182" t="str">
        <f ca="1">IF(ISERROR($V143),"",OFFSET('Smelter Look-up'!$C$4,$V143-4,0)&amp;"")</f>
        <v>Fujairah Gold FZC</v>
      </c>
      <c r="S143" s="181" t="str">
        <f t="shared" ca="1" si="20"/>
        <v>AE</v>
      </c>
      <c r="T143" s="181" t="str">
        <f ca="1">IF(B143="","",IF(ISERROR(MATCH($J143,SorP!$B$1:$B$6226,0)),"",INDIRECT("'SorP'!$A$"&amp;MATCH($S143&amp;$J143,SorP!C:C,0))))</f>
        <v>AE-FU</v>
      </c>
      <c r="U143" s="201"/>
      <c r="V143" s="226">
        <f>IF(C143="",NA(),IF(OR(C143="Smelter not listed",C143="Smelter not yet identified"),MATCH($B143&amp;$D143,'Smelter Look-up'!$J:$J,0),MATCH($B143&amp;$C143,'Smelter Look-up'!$J:$J,0)))</f>
        <v>88</v>
      </c>
      <c r="X143" s="227">
        <f t="shared" si="21"/>
        <v>0</v>
      </c>
      <c r="AB143" s="228" t="str">
        <f t="shared" si="22"/>
        <v>GoldFujairah Gold FZC</v>
      </c>
    </row>
    <row r="144" spans="1:28" s="227" customFormat="1" ht="67.5">
      <c r="A144" s="301" t="s">
        <v>2279</v>
      </c>
      <c r="B144" s="293" t="s">
        <v>1119</v>
      </c>
      <c r="C144" s="294" t="s">
        <v>15983</v>
      </c>
      <c r="D144" s="295" t="s">
        <v>15983</v>
      </c>
      <c r="E144" s="293" t="s">
        <v>1096</v>
      </c>
      <c r="F144" s="293" t="s">
        <v>2279</v>
      </c>
      <c r="G144" s="293" t="s">
        <v>13217</v>
      </c>
      <c r="H144" s="296" t="s">
        <v>15855</v>
      </c>
      <c r="I144" s="297" t="s">
        <v>2280</v>
      </c>
      <c r="J144" s="297" t="s">
        <v>15984</v>
      </c>
      <c r="K144" s="298" t="s">
        <v>15855</v>
      </c>
      <c r="L144" s="298" t="s">
        <v>15855</v>
      </c>
      <c r="M144" s="298" t="s">
        <v>15855</v>
      </c>
      <c r="N144" s="298" t="s">
        <v>15855</v>
      </c>
      <c r="O144" s="298" t="s">
        <v>15855</v>
      </c>
      <c r="P144" s="299" t="s">
        <v>15857</v>
      </c>
      <c r="Q144" s="300" t="s">
        <v>15855</v>
      </c>
      <c r="R144" s="182" t="str">
        <f ca="1">IF(ISERROR($V144),"",OFFSET('Smelter Look-up'!$C$4,$V144-4,0)&amp;"")</f>
        <v/>
      </c>
      <c r="S144" s="181" t="str">
        <f t="shared" ca="1" si="20"/>
        <v>IN</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si="21"/>
        <v>0</v>
      </c>
      <c r="AB144" s="228" t="str">
        <f t="shared" si="22"/>
        <v>GoldGCC Gujrat Gold Centre Pvt. Ltd.</v>
      </c>
    </row>
    <row r="145" spans="1:28" s="227" customFormat="1" ht="67.5">
      <c r="A145" s="301" t="s">
        <v>2279</v>
      </c>
      <c r="B145" s="293" t="s">
        <v>1119</v>
      </c>
      <c r="C145" s="294" t="s">
        <v>15415</v>
      </c>
      <c r="D145" s="295" t="s">
        <v>15983</v>
      </c>
      <c r="E145" s="293" t="s">
        <v>1096</v>
      </c>
      <c r="F145" s="293" t="s">
        <v>2279</v>
      </c>
      <c r="G145" s="293" t="s">
        <v>13217</v>
      </c>
      <c r="H145" s="296" t="s">
        <v>15855</v>
      </c>
      <c r="I145" s="297" t="s">
        <v>2280</v>
      </c>
      <c r="J145" s="297" t="s">
        <v>15543</v>
      </c>
      <c r="K145" s="298" t="s">
        <v>15855</v>
      </c>
      <c r="L145" s="298" t="s">
        <v>15855</v>
      </c>
      <c r="M145" s="298" t="s">
        <v>15855</v>
      </c>
      <c r="N145" s="298" t="s">
        <v>15855</v>
      </c>
      <c r="O145" s="298" t="s">
        <v>15858</v>
      </c>
      <c r="P145" s="299" t="s">
        <v>15857</v>
      </c>
      <c r="Q145" s="300" t="s">
        <v>15855</v>
      </c>
      <c r="R145" s="182" t="str">
        <f ca="1">IF(ISERROR($V145),"",OFFSET('Smelter Look-up'!$C$4,$V145-4,0)&amp;"")</f>
        <v>GGC Gujrat Gold Centre Pvt. Ltd.</v>
      </c>
      <c r="S145" s="181" t="str">
        <f t="shared" ca="1" si="20"/>
        <v>IN</v>
      </c>
      <c r="T145" s="181" t="str">
        <f ca="1">IF(B145="","",IF(ISERROR(MATCH($J145,SorP!$B$1:$B$6226,0)),"",INDIRECT("'SorP'!$A$"&amp;MATCH($S145&amp;$J145,SorP!C:C,0))))</f>
        <v>IN-GJ</v>
      </c>
      <c r="U145" s="201"/>
      <c r="V145" s="226">
        <f>IF(C145="",NA(),IF(OR(C145="Smelter not listed",C145="Smelter not yet identified"),MATCH($B145&amp;$D145,'Smelter Look-up'!$J:$J,0),MATCH($B145&amp;$C145,'Smelter Look-up'!$J:$J,0)))</f>
        <v>92</v>
      </c>
      <c r="X145" s="227">
        <f t="shared" si="21"/>
        <v>0</v>
      </c>
      <c r="AB145" s="228" t="str">
        <f t="shared" si="22"/>
        <v>GoldGGC Gujrat Gold Centre Pvt. Ltd.</v>
      </c>
    </row>
    <row r="146" spans="1:28" s="227" customFormat="1" ht="54">
      <c r="A146" s="301" t="s">
        <v>15985</v>
      </c>
      <c r="B146" s="293" t="s">
        <v>1119</v>
      </c>
      <c r="C146" s="294" t="s">
        <v>15986</v>
      </c>
      <c r="D146" s="295" t="s">
        <v>15986</v>
      </c>
      <c r="E146" s="293" t="s">
        <v>2415</v>
      </c>
      <c r="F146" s="293" t="s">
        <v>15985</v>
      </c>
      <c r="G146" s="293" t="s">
        <v>13217</v>
      </c>
      <c r="H146" s="296" t="s">
        <v>15855</v>
      </c>
      <c r="I146" s="297" t="s">
        <v>1531</v>
      </c>
      <c r="J146" s="297" t="s">
        <v>1532</v>
      </c>
      <c r="K146" s="298" t="s">
        <v>15855</v>
      </c>
      <c r="L146" s="298" t="s">
        <v>15855</v>
      </c>
      <c r="M146" s="298" t="s">
        <v>15855</v>
      </c>
      <c r="N146" s="298" t="s">
        <v>15855</v>
      </c>
      <c r="O146" s="298" t="s">
        <v>15855</v>
      </c>
      <c r="P146" s="299" t="s">
        <v>15857</v>
      </c>
      <c r="Q146" s="300" t="s">
        <v>15855</v>
      </c>
      <c r="R146" s="182" t="str">
        <f ca="1">IF(ISERROR($V146),"",OFFSET('Smelter Look-up'!$C$4,$V146-4,0)&amp;"")</f>
        <v/>
      </c>
      <c r="S146" s="181" t="str">
        <f t="shared" ca="1" si="20"/>
        <v>US</v>
      </c>
      <c r="T146" s="181" t="str">
        <f ca="1">IF(B146="","",IF(ISERROR(MATCH($J146,SorP!$B$1:$B$6226,0)),"",INDIRECT("'SorP'!$A$"&amp;MATCH($S146&amp;$J146,SorP!C:C,0))))</f>
        <v>US-RI</v>
      </c>
      <c r="U146" s="201"/>
      <c r="V146" s="226" t="e">
        <f>IF(C146="",NA(),IF(OR(C146="Smelter not listed",C146="Smelter not yet identified"),MATCH($B146&amp;$D146,'Smelter Look-up'!$J:$J,0),MATCH($B146&amp;$C146,'Smelter Look-up'!$J:$J,0)))</f>
        <v>#N/A</v>
      </c>
      <c r="X146" s="227">
        <f t="shared" si="21"/>
        <v>0</v>
      </c>
      <c r="AB146" s="228" t="str">
        <f t="shared" si="22"/>
        <v>GoldGeib Refining Corporation</v>
      </c>
    </row>
    <row r="147" spans="1:28" s="227" customFormat="1" ht="54">
      <c r="A147" s="301" t="s">
        <v>15985</v>
      </c>
      <c r="B147" s="293" t="s">
        <v>1119</v>
      </c>
      <c r="C147" s="294" t="s">
        <v>15986</v>
      </c>
      <c r="D147" s="295" t="s">
        <v>15986</v>
      </c>
      <c r="E147" s="293" t="s">
        <v>2415</v>
      </c>
      <c r="F147" s="293" t="s">
        <v>15985</v>
      </c>
      <c r="G147" s="293" t="s">
        <v>13217</v>
      </c>
      <c r="H147" s="296" t="s">
        <v>15855</v>
      </c>
      <c r="I147" s="297" t="s">
        <v>1531</v>
      </c>
      <c r="J147" s="297" t="s">
        <v>1532</v>
      </c>
      <c r="K147" s="298" t="s">
        <v>15987</v>
      </c>
      <c r="L147" s="298" t="s">
        <v>15988</v>
      </c>
      <c r="M147" s="298" t="s">
        <v>15869</v>
      </c>
      <c r="N147" s="298" t="s">
        <v>15876</v>
      </c>
      <c r="O147" s="298" t="s">
        <v>15879</v>
      </c>
      <c r="P147" s="299" t="s">
        <v>15875</v>
      </c>
      <c r="Q147" s="300" t="s">
        <v>15855</v>
      </c>
      <c r="R147" s="182" t="str">
        <f ca="1">IF(ISERROR($V147),"",OFFSET('Smelter Look-up'!$C$4,$V147-4,0)&amp;"")</f>
        <v/>
      </c>
      <c r="S147" s="181" t="str">
        <f t="shared" ca="1" si="20"/>
        <v>US</v>
      </c>
      <c r="T147" s="181" t="str">
        <f ca="1">IF(B147="","",IF(ISERROR(MATCH($J147,SorP!$B$1:$B$6226,0)),"",INDIRECT("'SorP'!$A$"&amp;MATCH($S147&amp;$J147,SorP!C:C,0))))</f>
        <v>US-RI</v>
      </c>
      <c r="U147" s="201"/>
      <c r="V147" s="226" t="e">
        <f>IF(C147="",NA(),IF(OR(C147="Smelter not listed",C147="Smelter not yet identified"),MATCH($B147&amp;$D147,'Smelter Look-up'!$J:$J,0),MATCH($B147&amp;$C147,'Smelter Look-up'!$J:$J,0)))</f>
        <v>#N/A</v>
      </c>
      <c r="X147" s="227">
        <f t="shared" si="21"/>
        <v>0</v>
      </c>
      <c r="AB147" s="228" t="str">
        <f t="shared" si="22"/>
        <v>GoldGeib Refining Corporation</v>
      </c>
    </row>
    <row r="148" spans="1:28" s="227" customFormat="1" ht="40.5">
      <c r="A148" s="301" t="s">
        <v>15417</v>
      </c>
      <c r="B148" s="293" t="s">
        <v>1119</v>
      </c>
      <c r="C148" s="294" t="s">
        <v>15416</v>
      </c>
      <c r="D148" s="295" t="s">
        <v>15416</v>
      </c>
      <c r="E148" s="293" t="s">
        <v>12963</v>
      </c>
      <c r="F148" s="293" t="s">
        <v>15417</v>
      </c>
      <c r="G148" s="293" t="s">
        <v>13217</v>
      </c>
      <c r="H148" s="296" t="s">
        <v>15855</v>
      </c>
      <c r="I148" s="297" t="s">
        <v>15418</v>
      </c>
      <c r="J148" s="297" t="s">
        <v>3939</v>
      </c>
      <c r="K148" s="298" t="s">
        <v>15855</v>
      </c>
      <c r="L148" s="298" t="s">
        <v>15855</v>
      </c>
      <c r="M148" s="298" t="s">
        <v>15855</v>
      </c>
      <c r="N148" s="298" t="s">
        <v>15855</v>
      </c>
      <c r="O148" s="298" t="s">
        <v>15858</v>
      </c>
      <c r="P148" s="299" t="s">
        <v>15857</v>
      </c>
      <c r="Q148" s="300" t="s">
        <v>15855</v>
      </c>
      <c r="R148" s="182" t="str">
        <f ca="1">IF(ISERROR($V148),"",OFFSET('Smelter Look-up'!$C$4,$V148-4,0)&amp;"")</f>
        <v>Gold by Gold Colombia</v>
      </c>
      <c r="S148" s="181" t="str">
        <f t="shared" ca="1" si="20"/>
        <v>CO</v>
      </c>
      <c r="T148" s="181" t="str">
        <f ca="1">IF(B148="","",IF(ISERROR(MATCH($J148,SorP!$B$1:$B$6226,0)),"",INDIRECT("'SorP'!$A$"&amp;MATCH($S148&amp;$J148,SorP!C:C,0))))</f>
        <v>CO-ANT</v>
      </c>
      <c r="U148" s="201"/>
      <c r="V148" s="226">
        <f>IF(C148="",NA(),IF(OR(C148="Smelter not listed",C148="Smelter not yet identified"),MATCH($B148&amp;$D148,'Smelter Look-up'!$J:$J,0),MATCH($B148&amp;$C148,'Smelter Look-up'!$J:$J,0)))</f>
        <v>93</v>
      </c>
      <c r="X148" s="227">
        <f t="shared" si="21"/>
        <v>0</v>
      </c>
      <c r="AB148" s="228" t="str">
        <f t="shared" si="22"/>
        <v>GoldGold by Gold Colombia</v>
      </c>
    </row>
    <row r="149" spans="1:28" s="227" customFormat="1" ht="40.5">
      <c r="A149" s="301" t="s">
        <v>13836</v>
      </c>
      <c r="B149" s="293" t="s">
        <v>1119</v>
      </c>
      <c r="C149" s="294" t="s">
        <v>13817</v>
      </c>
      <c r="D149" s="295" t="s">
        <v>13817</v>
      </c>
      <c r="E149" s="293" t="s">
        <v>12990</v>
      </c>
      <c r="F149" s="293" t="s">
        <v>13836</v>
      </c>
      <c r="G149" s="293" t="s">
        <v>13217</v>
      </c>
      <c r="H149" s="296" t="s">
        <v>15855</v>
      </c>
      <c r="I149" s="297" t="s">
        <v>14000</v>
      </c>
      <c r="J149" s="297" t="s">
        <v>5550</v>
      </c>
      <c r="K149" s="298" t="s">
        <v>15855</v>
      </c>
      <c r="L149" s="298" t="s">
        <v>15855</v>
      </c>
      <c r="M149" s="298" t="s">
        <v>15855</v>
      </c>
      <c r="N149" s="298" t="s">
        <v>15855</v>
      </c>
      <c r="O149" s="298" t="s">
        <v>15858</v>
      </c>
      <c r="P149" s="299" t="s">
        <v>15857</v>
      </c>
      <c r="Q149" s="300" t="s">
        <v>15855</v>
      </c>
      <c r="R149" s="182" t="str">
        <f ca="1">IF(ISERROR($V149),"",OFFSET('Smelter Look-up'!$C$4,$V149-4,0)&amp;"")</f>
        <v>Gold Coast Refinery</v>
      </c>
      <c r="S149" s="181" t="str">
        <f t="shared" ca="1" si="20"/>
        <v>GH</v>
      </c>
      <c r="T149" s="181" t="str">
        <f ca="1">IF(B149="","",IF(ISERROR(MATCH($J149,SorP!$B$1:$B$6226,0)),"",INDIRECT("'SorP'!$A$"&amp;MATCH($S149&amp;$J149,SorP!C:C,0))))</f>
        <v>GH-AA</v>
      </c>
      <c r="U149" s="201"/>
      <c r="V149" s="226">
        <f>IF(C149="",NA(),IF(OR(C149="Smelter not listed",C149="Smelter not yet identified"),MATCH($B149&amp;$D149,'Smelter Look-up'!$J:$J,0),MATCH($B149&amp;$C149,'Smelter Look-up'!$J:$J,0)))</f>
        <v>94</v>
      </c>
      <c r="X149" s="227">
        <f t="shared" si="21"/>
        <v>0</v>
      </c>
      <c r="AB149" s="228" t="str">
        <f t="shared" si="22"/>
        <v>GoldGold Coast Refinery</v>
      </c>
    </row>
    <row r="150" spans="1:28" s="227" customFormat="1" ht="94.5">
      <c r="A150" s="301" t="s">
        <v>740</v>
      </c>
      <c r="B150" s="293" t="s">
        <v>1119</v>
      </c>
      <c r="C150" s="294" t="s">
        <v>21</v>
      </c>
      <c r="D150" s="295" t="s">
        <v>2479</v>
      </c>
      <c r="E150" s="293" t="s">
        <v>1090</v>
      </c>
      <c r="F150" s="293" t="s">
        <v>740</v>
      </c>
      <c r="G150" s="293" t="s">
        <v>13217</v>
      </c>
      <c r="H150" s="296" t="s">
        <v>15855</v>
      </c>
      <c r="I150" s="297" t="s">
        <v>1681</v>
      </c>
      <c r="J150" s="297" t="s">
        <v>13595</v>
      </c>
      <c r="K150" s="298" t="s">
        <v>15855</v>
      </c>
      <c r="L150" s="298" t="s">
        <v>15855</v>
      </c>
      <c r="M150" s="298" t="s">
        <v>15855</v>
      </c>
      <c r="N150" s="298" t="s">
        <v>15855</v>
      </c>
      <c r="O150" s="298" t="s">
        <v>15855</v>
      </c>
      <c r="P150" s="299" t="s">
        <v>15857</v>
      </c>
      <c r="Q150" s="300" t="s">
        <v>15855</v>
      </c>
      <c r="R150" s="182" t="str">
        <f ca="1">IF(ISERROR($V150),"",OFFSET('Smelter Look-up'!$C$4,$V150-4,0)&amp;"")</f>
        <v>Gold Refinery of Zijin Mining Group Co., Ltd.</v>
      </c>
      <c r="S150" s="181" t="str">
        <f t="shared" ca="1" si="20"/>
        <v>CN</v>
      </c>
      <c r="T150" s="181" t="str">
        <f ca="1">IF(B150="","",IF(ISERROR(MATCH($J150,SorP!$B$1:$B$6226,0)),"",INDIRECT("'SorP'!$A$"&amp;MATCH($S150&amp;$J150,SorP!C:C,0))))</f>
        <v>CN-FJ</v>
      </c>
      <c r="U150" s="201"/>
      <c r="V150" s="226">
        <f>IF(C150="",NA(),IF(OR(C150="Smelter not listed",C150="Smelter not yet identified"),MATCH($B150&amp;$D150,'Smelter Look-up'!$J:$J,0),MATCH($B150&amp;$C150,'Smelter Look-up'!$J:$J,0)))</f>
        <v>90</v>
      </c>
      <c r="X150" s="227">
        <f t="shared" si="21"/>
        <v>0</v>
      </c>
      <c r="AB150" s="228" t="str">
        <f t="shared" si="22"/>
        <v>GoldFujian Zijin mining stock company gold smelter</v>
      </c>
    </row>
    <row r="151" spans="1:28" s="227" customFormat="1" ht="81">
      <c r="A151" s="301" t="s">
        <v>740</v>
      </c>
      <c r="B151" s="293" t="s">
        <v>1119</v>
      </c>
      <c r="C151" s="294" t="s">
        <v>2479</v>
      </c>
      <c r="D151" s="295" t="s">
        <v>2479</v>
      </c>
      <c r="E151" s="293" t="s">
        <v>1090</v>
      </c>
      <c r="F151" s="293" t="s">
        <v>740</v>
      </c>
      <c r="G151" s="293" t="s">
        <v>13217</v>
      </c>
      <c r="H151" s="296" t="s">
        <v>15855</v>
      </c>
      <c r="I151" s="297" t="s">
        <v>1681</v>
      </c>
      <c r="J151" s="297" t="s">
        <v>13595</v>
      </c>
      <c r="K151" s="298" t="s">
        <v>15855</v>
      </c>
      <c r="L151" s="298" t="s">
        <v>15855</v>
      </c>
      <c r="M151" s="298" t="s">
        <v>15855</v>
      </c>
      <c r="N151" s="298" t="s">
        <v>15855</v>
      </c>
      <c r="O151" s="298" t="s">
        <v>15855</v>
      </c>
      <c r="P151" s="299" t="s">
        <v>15857</v>
      </c>
      <c r="Q151" s="300" t="s">
        <v>15855</v>
      </c>
      <c r="R151" s="182" t="str">
        <f ca="1">IF(ISERROR($V151),"",OFFSET('Smelter Look-up'!$C$4,$V151-4,0)&amp;"")</f>
        <v>Gold Refinery of Zijin Mining Group Co., Ltd.</v>
      </c>
      <c r="S151" s="181" t="str">
        <f t="shared" ca="1" si="20"/>
        <v>CN</v>
      </c>
      <c r="T151" s="181" t="str">
        <f ca="1">IF(B151="","",IF(ISERROR(MATCH($J151,SorP!$B$1:$B$6226,0)),"",INDIRECT("'SorP'!$A$"&amp;MATCH($S151&amp;$J151,SorP!C:C,0))))</f>
        <v>CN-FJ</v>
      </c>
      <c r="U151" s="201"/>
      <c r="V151" s="226">
        <f>IF(C151="",NA(),IF(OR(C151="Smelter not listed",C151="Smelter not yet identified"),MATCH($B151&amp;$D151,'Smelter Look-up'!$J:$J,0),MATCH($B151&amp;$C151,'Smelter Look-up'!$J:$J,0)))</f>
        <v>96</v>
      </c>
      <c r="X151" s="227">
        <f t="shared" si="21"/>
        <v>0</v>
      </c>
      <c r="AB151" s="228" t="str">
        <f t="shared" si="22"/>
        <v>GoldGold Refinery of Zijin Mining Group Co., Ltd.</v>
      </c>
    </row>
    <row r="152" spans="1:28" s="227" customFormat="1" ht="81">
      <c r="A152" s="301" t="s">
        <v>740</v>
      </c>
      <c r="B152" s="293" t="s">
        <v>1119</v>
      </c>
      <c r="C152" s="294" t="s">
        <v>2479</v>
      </c>
      <c r="D152" s="295" t="s">
        <v>2479</v>
      </c>
      <c r="E152" s="293" t="s">
        <v>1090</v>
      </c>
      <c r="F152" s="293" t="s">
        <v>740</v>
      </c>
      <c r="G152" s="293" t="s">
        <v>13217</v>
      </c>
      <c r="H152" s="296" t="s">
        <v>15855</v>
      </c>
      <c r="I152" s="297" t="s">
        <v>1681</v>
      </c>
      <c r="J152" s="297" t="s">
        <v>13595</v>
      </c>
      <c r="K152" s="298" t="s">
        <v>15855</v>
      </c>
      <c r="L152" s="298" t="s">
        <v>15855</v>
      </c>
      <c r="M152" s="298" t="s">
        <v>15855</v>
      </c>
      <c r="N152" s="298" t="s">
        <v>15855</v>
      </c>
      <c r="O152" s="298" t="s">
        <v>15855</v>
      </c>
      <c r="P152" s="299" t="s">
        <v>15875</v>
      </c>
      <c r="Q152" s="300" t="s">
        <v>15855</v>
      </c>
      <c r="R152" s="182" t="str">
        <f ca="1">IF(ISERROR($V152),"",OFFSET('Smelter Look-up'!$C$4,$V152-4,0)&amp;"")</f>
        <v>Gold Refinery of Zijin Mining Group Co., Ltd.</v>
      </c>
      <c r="S152" s="181" t="str">
        <f t="shared" ca="1" si="20"/>
        <v>CN</v>
      </c>
      <c r="T152" s="181" t="str">
        <f ca="1">IF(B152="","",IF(ISERROR(MATCH($J152,SorP!$B$1:$B$6226,0)),"",INDIRECT("'SorP'!$A$"&amp;MATCH($S152&amp;$J152,SorP!C:C,0))))</f>
        <v>CN-FJ</v>
      </c>
      <c r="U152" s="201"/>
      <c r="V152" s="226">
        <f>IF(C152="",NA(),IF(OR(C152="Smelter not listed",C152="Smelter not yet identified"),MATCH($B152&amp;$D152,'Smelter Look-up'!$J:$J,0),MATCH($B152&amp;$C152,'Smelter Look-up'!$J:$J,0)))</f>
        <v>96</v>
      </c>
      <c r="X152" s="227">
        <f t="shared" si="21"/>
        <v>0</v>
      </c>
      <c r="AB152" s="228" t="str">
        <f t="shared" si="22"/>
        <v>GoldGold Refinery of Zijin Mining Group Co., Ltd.</v>
      </c>
    </row>
    <row r="153" spans="1:28" s="227" customFormat="1" ht="81">
      <c r="A153" s="301" t="s">
        <v>740</v>
      </c>
      <c r="B153" s="293" t="s">
        <v>1119</v>
      </c>
      <c r="C153" s="294" t="s">
        <v>2479</v>
      </c>
      <c r="D153" s="295" t="s">
        <v>2479</v>
      </c>
      <c r="E153" s="293" t="s">
        <v>1090</v>
      </c>
      <c r="F153" s="293" t="s">
        <v>740</v>
      </c>
      <c r="G153" s="293" t="s">
        <v>13217</v>
      </c>
      <c r="H153" s="296" t="s">
        <v>15855</v>
      </c>
      <c r="I153" s="297" t="s">
        <v>1681</v>
      </c>
      <c r="J153" s="297" t="s">
        <v>13595</v>
      </c>
      <c r="K153" s="298" t="s">
        <v>15855</v>
      </c>
      <c r="L153" s="298" t="s">
        <v>15855</v>
      </c>
      <c r="M153" s="298" t="s">
        <v>15855</v>
      </c>
      <c r="N153" s="298" t="s">
        <v>15855</v>
      </c>
      <c r="O153" s="298" t="s">
        <v>15989</v>
      </c>
      <c r="P153" s="299" t="s">
        <v>15857</v>
      </c>
      <c r="Q153" s="300" t="s">
        <v>15855</v>
      </c>
      <c r="R153" s="182" t="str">
        <f ca="1">IF(ISERROR($V153),"",OFFSET('Smelter Look-up'!$C$4,$V153-4,0)&amp;"")</f>
        <v>Gold Refinery of Zijin Mining Group Co., Ltd.</v>
      </c>
      <c r="S153" s="181" t="str">
        <f t="shared" ca="1" si="20"/>
        <v>CN</v>
      </c>
      <c r="T153" s="181" t="str">
        <f ca="1">IF(B153="","",IF(ISERROR(MATCH($J153,SorP!$B$1:$B$6226,0)),"",INDIRECT("'SorP'!$A$"&amp;MATCH($S153&amp;$J153,SorP!C:C,0))))</f>
        <v>CN-FJ</v>
      </c>
      <c r="U153" s="201"/>
      <c r="V153" s="226">
        <f>IF(C153="",NA(),IF(OR(C153="Smelter not listed",C153="Smelter not yet identified"),MATCH($B153&amp;$D153,'Smelter Look-up'!$J:$J,0),MATCH($B153&amp;$C153,'Smelter Look-up'!$J:$J,0)))</f>
        <v>96</v>
      </c>
      <c r="X153" s="227">
        <f t="shared" si="21"/>
        <v>0</v>
      </c>
      <c r="AB153" s="228" t="str">
        <f t="shared" si="22"/>
        <v>GoldGold Refinery of Zijin Mining Group Co., Ltd.</v>
      </c>
    </row>
    <row r="154" spans="1:28" s="227" customFormat="1" ht="81">
      <c r="A154" s="301" t="s">
        <v>740</v>
      </c>
      <c r="B154" s="293" t="s">
        <v>1119</v>
      </c>
      <c r="C154" s="294" t="s">
        <v>2479</v>
      </c>
      <c r="D154" s="295" t="s">
        <v>2479</v>
      </c>
      <c r="E154" s="293" t="s">
        <v>1090</v>
      </c>
      <c r="F154" s="293" t="s">
        <v>740</v>
      </c>
      <c r="G154" s="293" t="s">
        <v>13217</v>
      </c>
      <c r="H154" s="296" t="s">
        <v>15855</v>
      </c>
      <c r="I154" s="297" t="s">
        <v>1681</v>
      </c>
      <c r="J154" s="297" t="s">
        <v>13595</v>
      </c>
      <c r="K154" s="298" t="s">
        <v>15855</v>
      </c>
      <c r="L154" s="298" t="s">
        <v>15990</v>
      </c>
      <c r="M154" s="298" t="s">
        <v>15855</v>
      </c>
      <c r="N154" s="298" t="s">
        <v>15855</v>
      </c>
      <c r="O154" s="298" t="s">
        <v>15855</v>
      </c>
      <c r="P154" s="299" t="s">
        <v>15857</v>
      </c>
      <c r="Q154" s="300" t="s">
        <v>15855</v>
      </c>
      <c r="R154" s="182" t="str">
        <f ca="1">IF(ISERROR($V154),"",OFFSET('Smelter Look-up'!$C$4,$V154-4,0)&amp;"")</f>
        <v>Gold Refinery of Zijin Mining Group Co., Ltd.</v>
      </c>
      <c r="S154" s="181" t="str">
        <f t="shared" ca="1" si="20"/>
        <v>CN</v>
      </c>
      <c r="T154" s="181" t="str">
        <f ca="1">IF(B154="","",IF(ISERROR(MATCH($J154,SorP!$B$1:$B$6226,0)),"",INDIRECT("'SorP'!$A$"&amp;MATCH($S154&amp;$J154,SorP!C:C,0))))</f>
        <v>CN-FJ</v>
      </c>
      <c r="U154" s="201"/>
      <c r="V154" s="226">
        <f>IF(C154="",NA(),IF(OR(C154="Smelter not listed",C154="Smelter not yet identified"),MATCH($B154&amp;$D154,'Smelter Look-up'!$J:$J,0),MATCH($B154&amp;$C154,'Smelter Look-up'!$J:$J,0)))</f>
        <v>96</v>
      </c>
      <c r="X154" s="227">
        <f t="shared" si="21"/>
        <v>0</v>
      </c>
      <c r="AB154" s="228" t="str">
        <f t="shared" si="22"/>
        <v>GoldGold Refinery of Zijin Mining Group Co., Ltd.</v>
      </c>
    </row>
    <row r="155" spans="1:28" s="227" customFormat="1" ht="81">
      <c r="A155" s="301" t="s">
        <v>740</v>
      </c>
      <c r="B155" s="293" t="s">
        <v>1119</v>
      </c>
      <c r="C155" s="294" t="s">
        <v>2479</v>
      </c>
      <c r="D155" s="295" t="s">
        <v>2479</v>
      </c>
      <c r="E155" s="293" t="s">
        <v>1090</v>
      </c>
      <c r="F155" s="293" t="s">
        <v>740</v>
      </c>
      <c r="G155" s="293" t="s">
        <v>13217</v>
      </c>
      <c r="H155" s="296" t="s">
        <v>15855</v>
      </c>
      <c r="I155" s="297" t="s">
        <v>1681</v>
      </c>
      <c r="J155" s="297" t="s">
        <v>13595</v>
      </c>
      <c r="K155" s="298" t="s">
        <v>15991</v>
      </c>
      <c r="L155" s="298" t="s">
        <v>15992</v>
      </c>
      <c r="M155" s="298" t="s">
        <v>15993</v>
      </c>
      <c r="N155" s="298" t="s">
        <v>2479</v>
      </c>
      <c r="O155" s="298" t="s">
        <v>15994</v>
      </c>
      <c r="P155" s="299" t="s">
        <v>15857</v>
      </c>
      <c r="Q155" s="300" t="s">
        <v>15855</v>
      </c>
      <c r="R155" s="182" t="str">
        <f ca="1">IF(ISERROR($V155),"",OFFSET('Smelter Look-up'!$C$4,$V155-4,0)&amp;"")</f>
        <v>Gold Refinery of Zijin Mining Group Co., Ltd.</v>
      </c>
      <c r="S155" s="181" t="str">
        <f t="shared" ca="1" si="20"/>
        <v>CN</v>
      </c>
      <c r="T155" s="181" t="str">
        <f ca="1">IF(B155="","",IF(ISERROR(MATCH($J155,SorP!$B$1:$B$6226,0)),"",INDIRECT("'SorP'!$A$"&amp;MATCH($S155&amp;$J155,SorP!C:C,0))))</f>
        <v>CN-FJ</v>
      </c>
      <c r="U155" s="201"/>
      <c r="V155" s="226">
        <f>IF(C155="",NA(),IF(OR(C155="Smelter not listed",C155="Smelter not yet identified"),MATCH($B155&amp;$D155,'Smelter Look-up'!$J:$J,0),MATCH($B155&amp;$C155,'Smelter Look-up'!$J:$J,0)))</f>
        <v>96</v>
      </c>
      <c r="X155" s="227">
        <f t="shared" si="21"/>
        <v>0</v>
      </c>
      <c r="AB155" s="228" t="str">
        <f t="shared" si="22"/>
        <v>GoldGold Refinery of Zijin Mining Group Co., Ltd.</v>
      </c>
    </row>
    <row r="156" spans="1:28" s="227" customFormat="1" ht="54">
      <c r="A156" s="301" t="s">
        <v>740</v>
      </c>
      <c r="B156" s="293" t="s">
        <v>1119</v>
      </c>
      <c r="C156" s="294" t="s">
        <v>35</v>
      </c>
      <c r="D156" s="295" t="s">
        <v>2479</v>
      </c>
      <c r="E156" s="293" t="s">
        <v>1090</v>
      </c>
      <c r="F156" s="293" t="s">
        <v>740</v>
      </c>
      <c r="G156" s="293" t="s">
        <v>13217</v>
      </c>
      <c r="H156" s="296" t="s">
        <v>15855</v>
      </c>
      <c r="I156" s="297" t="s">
        <v>1681</v>
      </c>
      <c r="J156" s="297" t="s">
        <v>13595</v>
      </c>
      <c r="K156" s="298" t="s">
        <v>15855</v>
      </c>
      <c r="L156" s="298" t="s">
        <v>15855</v>
      </c>
      <c r="M156" s="298" t="s">
        <v>15855</v>
      </c>
      <c r="N156" s="298" t="s">
        <v>15855</v>
      </c>
      <c r="O156" s="298" t="s">
        <v>15855</v>
      </c>
      <c r="P156" s="299" t="s">
        <v>15857</v>
      </c>
      <c r="Q156" s="300" t="s">
        <v>15855</v>
      </c>
      <c r="R156" s="182" t="str">
        <f ca="1">IF(ISERROR($V156),"",OFFSET('Smelter Look-up'!$C$4,$V156-4,0)&amp;"")</f>
        <v>Gold Refinery of Zijin Mining Group Co., Ltd.</v>
      </c>
      <c r="S156" s="181" t="str">
        <f t="shared" ca="1" si="20"/>
        <v>CN</v>
      </c>
      <c r="T156" s="181" t="str">
        <f ca="1">IF(B156="","",IF(ISERROR(MATCH($J156,SorP!$B$1:$B$6226,0)),"",INDIRECT("'SorP'!$A$"&amp;MATCH($S156&amp;$J156,SorP!C:C,0))))</f>
        <v>CN-FJ</v>
      </c>
      <c r="U156" s="201"/>
      <c r="V156" s="226">
        <f>IF(C156="",NA(),IF(OR(C156="Smelter not listed",C156="Smelter not yet identified"),MATCH($B156&amp;$D156,'Smelter Look-up'!$J:$J,0),MATCH($B156&amp;$C156,'Smelter Look-up'!$J:$J,0)))</f>
        <v>328</v>
      </c>
      <c r="X156" s="227">
        <f t="shared" si="21"/>
        <v>0</v>
      </c>
      <c r="AB156" s="228" t="str">
        <f t="shared" si="22"/>
        <v>GoldZijin Kuang Ye Refinery</v>
      </c>
    </row>
    <row r="157" spans="1:28" s="227" customFormat="1" ht="81">
      <c r="A157" s="301" t="s">
        <v>727</v>
      </c>
      <c r="B157" s="293" t="s">
        <v>1119</v>
      </c>
      <c r="C157" s="294" t="s">
        <v>2200</v>
      </c>
      <c r="D157" s="295" t="s">
        <v>2200</v>
      </c>
      <c r="E157" s="293" t="s">
        <v>1090</v>
      </c>
      <c r="F157" s="293" t="s">
        <v>727</v>
      </c>
      <c r="G157" s="293" t="s">
        <v>13217</v>
      </c>
      <c r="H157" s="296" t="s">
        <v>15855</v>
      </c>
      <c r="I157" s="297" t="s">
        <v>1651</v>
      </c>
      <c r="J157" s="297" t="s">
        <v>13603</v>
      </c>
      <c r="K157" s="298" t="s">
        <v>15855</v>
      </c>
      <c r="L157" s="298" t="s">
        <v>15855</v>
      </c>
      <c r="M157" s="298" t="s">
        <v>15855</v>
      </c>
      <c r="N157" s="298" t="s">
        <v>15855</v>
      </c>
      <c r="O157" s="298" t="s">
        <v>15858</v>
      </c>
      <c r="P157" s="299" t="s">
        <v>15857</v>
      </c>
      <c r="Q157" s="300" t="s">
        <v>15855</v>
      </c>
      <c r="R157" s="182" t="str">
        <f ca="1">IF(ISERROR($V157),"",OFFSET('Smelter Look-up'!$C$4,$V157-4,0)&amp;"")</f>
        <v>Great Wall Precious Metals Co., Ltd. of CBPM</v>
      </c>
      <c r="S157" s="181" t="str">
        <f t="shared" ca="1" si="20"/>
        <v>CN</v>
      </c>
      <c r="T157" s="181" t="str">
        <f ca="1">IF(B157="","",IF(ISERROR(MATCH($J157,SorP!$B$1:$B$6226,0)),"",INDIRECT("'SorP'!$A$"&amp;MATCH($S157&amp;$J157,SorP!C:C,0))))</f>
        <v>CN-SC</v>
      </c>
      <c r="U157" s="201"/>
      <c r="V157" s="226">
        <f>IF(C157="",NA(),IF(OR(C157="Smelter not listed",C157="Smelter not yet identified"),MATCH($B157&amp;$D157,'Smelter Look-up'!$J:$J,0),MATCH($B157&amp;$C157,'Smelter Look-up'!$J:$J,0)))</f>
        <v>98</v>
      </c>
      <c r="X157" s="227">
        <f t="shared" si="21"/>
        <v>0</v>
      </c>
      <c r="AB157" s="228" t="str">
        <f t="shared" si="22"/>
        <v>GoldGreat Wall Precious Metals Co., Ltd. of CBPM</v>
      </c>
    </row>
    <row r="158" spans="1:28" s="227" customFormat="1" ht="67.5">
      <c r="A158" s="301" t="s">
        <v>671</v>
      </c>
      <c r="B158" s="293" t="s">
        <v>1119</v>
      </c>
      <c r="C158" s="294" t="s">
        <v>670</v>
      </c>
      <c r="D158" s="295" t="s">
        <v>670</v>
      </c>
      <c r="E158" s="293" t="s">
        <v>1090</v>
      </c>
      <c r="F158" s="293" t="s">
        <v>671</v>
      </c>
      <c r="G158" s="293" t="s">
        <v>13217</v>
      </c>
      <c r="H158" s="296" t="s">
        <v>15855</v>
      </c>
      <c r="I158" s="297" t="s">
        <v>1683</v>
      </c>
      <c r="J158" s="297" t="s">
        <v>13601</v>
      </c>
      <c r="K158" s="298" t="s">
        <v>15855</v>
      </c>
      <c r="L158" s="298" t="s">
        <v>15855</v>
      </c>
      <c r="M158" s="298" t="s">
        <v>15855</v>
      </c>
      <c r="N158" s="298" t="s">
        <v>15855</v>
      </c>
      <c r="O158" s="298" t="s">
        <v>15858</v>
      </c>
      <c r="P158" s="299" t="s">
        <v>15857</v>
      </c>
      <c r="Q158" s="300" t="s">
        <v>15855</v>
      </c>
      <c r="R158" s="182" t="str">
        <f ca="1">IF(ISERROR($V158),"",OFFSET('Smelter Look-up'!$C$4,$V158-4,0)&amp;"")</f>
        <v>Guangdong Jinding Gold Limited</v>
      </c>
      <c r="S158" s="181" t="str">
        <f t="shared" ca="1" si="20"/>
        <v>CN</v>
      </c>
      <c r="T158" s="181" t="str">
        <f ca="1">IF(B158="","",IF(ISERROR(MATCH($J158,SorP!$B$1:$B$6226,0)),"",INDIRECT("'SorP'!$A$"&amp;MATCH($S158&amp;$J158,SorP!C:C,0))))</f>
        <v>CN-GD</v>
      </c>
      <c r="U158" s="201"/>
      <c r="V158" s="226">
        <f>IF(C158="",NA(),IF(OR(C158="Smelter not listed",C158="Smelter not yet identified"),MATCH($B158&amp;$D158,'Smelter Look-up'!$J:$J,0),MATCH($B158&amp;$C158,'Smelter Look-up'!$J:$J,0)))</f>
        <v>100</v>
      </c>
      <c r="X158" s="227">
        <f t="shared" si="21"/>
        <v>0</v>
      </c>
      <c r="AB158" s="228" t="str">
        <f t="shared" si="22"/>
        <v>GoldGuangdong Jinding Gold Limited</v>
      </c>
    </row>
    <row r="159" spans="1:28" s="227" customFormat="1" ht="121.5">
      <c r="A159" s="301" t="s">
        <v>1577</v>
      </c>
      <c r="B159" s="293" t="s">
        <v>1119</v>
      </c>
      <c r="C159" s="294" t="s">
        <v>1576</v>
      </c>
      <c r="D159" s="295" t="s">
        <v>1576</v>
      </c>
      <c r="E159" s="293" t="s">
        <v>1090</v>
      </c>
      <c r="F159" s="293" t="s">
        <v>1577</v>
      </c>
      <c r="G159" s="293" t="s">
        <v>13217</v>
      </c>
      <c r="H159" s="296" t="s">
        <v>15855</v>
      </c>
      <c r="I159" s="297" t="s">
        <v>1578</v>
      </c>
      <c r="J159" s="297" t="s">
        <v>13597</v>
      </c>
      <c r="K159" s="298" t="s">
        <v>15855</v>
      </c>
      <c r="L159" s="298" t="s">
        <v>15855</v>
      </c>
      <c r="M159" s="298" t="s">
        <v>15855</v>
      </c>
      <c r="N159" s="298" t="s">
        <v>15855</v>
      </c>
      <c r="O159" s="298" t="s">
        <v>15858</v>
      </c>
      <c r="P159" s="299" t="s">
        <v>15857</v>
      </c>
      <c r="Q159" s="300" t="s">
        <v>15855</v>
      </c>
      <c r="R159" s="182" t="str">
        <f ca="1">IF(ISERROR($V159),"",OFFSET('Smelter Look-up'!$C$4,$V159-4,0)&amp;"")</f>
        <v>Guoda Safina High-Tech Environmental Refinery Co., Ltd.</v>
      </c>
      <c r="S159" s="181" t="str">
        <f t="shared" ca="1" si="20"/>
        <v>CN</v>
      </c>
      <c r="T159" s="181" t="str">
        <f ca="1">IF(B159="","",IF(ISERROR(MATCH($J159,SorP!$B$1:$B$6226,0)),"",INDIRECT("'SorP'!$A$"&amp;MATCH($S159&amp;$J159,SorP!C:C,0))))</f>
        <v>CN-SD</v>
      </c>
      <c r="U159" s="201"/>
      <c r="V159" s="226">
        <f>IF(C159="",NA(),IF(OR(C159="Smelter not listed",C159="Smelter not yet identified"),MATCH($B159&amp;$D159,'Smelter Look-up'!$J:$J,0),MATCH($B159&amp;$C159,'Smelter Look-up'!$J:$J,0)))</f>
        <v>102</v>
      </c>
      <c r="X159" s="227">
        <f t="shared" si="21"/>
        <v>0</v>
      </c>
      <c r="AB159" s="228" t="str">
        <f t="shared" si="22"/>
        <v>GoldGuoda Safina High-Tech Environmental Refinery Co., Ltd.</v>
      </c>
    </row>
    <row r="160" spans="1:28" s="227" customFormat="1" ht="81">
      <c r="A160" s="301" t="s">
        <v>391</v>
      </c>
      <c r="B160" s="293" t="s">
        <v>1119</v>
      </c>
      <c r="C160" s="294" t="s">
        <v>390</v>
      </c>
      <c r="D160" s="295" t="s">
        <v>390</v>
      </c>
      <c r="E160" s="293" t="s">
        <v>1090</v>
      </c>
      <c r="F160" s="293" t="s">
        <v>391</v>
      </c>
      <c r="G160" s="293" t="s">
        <v>13217</v>
      </c>
      <c r="H160" s="296" t="s">
        <v>15855</v>
      </c>
      <c r="I160" s="297" t="s">
        <v>1580</v>
      </c>
      <c r="J160" s="297" t="s">
        <v>13593</v>
      </c>
      <c r="K160" s="298" t="s">
        <v>15855</v>
      </c>
      <c r="L160" s="298" t="s">
        <v>15855</v>
      </c>
      <c r="M160" s="298" t="s">
        <v>15855</v>
      </c>
      <c r="N160" s="298" t="s">
        <v>15855</v>
      </c>
      <c r="O160" s="298" t="s">
        <v>15858</v>
      </c>
      <c r="P160" s="299" t="s">
        <v>15857</v>
      </c>
      <c r="Q160" s="300" t="s">
        <v>15855</v>
      </c>
      <c r="R160" s="182" t="str">
        <f ca="1">IF(ISERROR($V160),"",OFFSET('Smelter Look-up'!$C$4,$V160-4,0)&amp;"")</f>
        <v>Hangzhou Fuchunjiang Smelting Co., Ltd.</v>
      </c>
      <c r="S160" s="181" t="str">
        <f t="shared" ca="1" si="20"/>
        <v>CN</v>
      </c>
      <c r="T160" s="181" t="str">
        <f ca="1">IF(B160="","",IF(ISERROR(MATCH($J160,SorP!$B$1:$B$6226,0)),"",INDIRECT("'SorP'!$A$"&amp;MATCH($S160&amp;$J160,SorP!C:C,0))))</f>
        <v>CN-ZJ</v>
      </c>
      <c r="U160" s="201"/>
      <c r="V160" s="226">
        <f>IF(C160="",NA(),IF(OR(C160="Smelter not listed",C160="Smelter not yet identified"),MATCH($B160&amp;$D160,'Smelter Look-up'!$J:$J,0),MATCH($B160&amp;$C160,'Smelter Look-up'!$J:$J,0)))</f>
        <v>103</v>
      </c>
      <c r="X160" s="227">
        <f t="shared" si="21"/>
        <v>0</v>
      </c>
      <c r="AB160" s="228" t="str">
        <f t="shared" si="22"/>
        <v>GoldHangzhou Fuchunjiang Smelting Co., Ltd.</v>
      </c>
    </row>
    <row r="161" spans="1:28" s="227" customFormat="1" ht="54">
      <c r="A161" s="301" t="s">
        <v>672</v>
      </c>
      <c r="B161" s="293" t="s">
        <v>1119</v>
      </c>
      <c r="C161" s="294" t="s">
        <v>1029</v>
      </c>
      <c r="D161" s="295" t="s">
        <v>1029</v>
      </c>
      <c r="E161" s="293" t="s">
        <v>1091</v>
      </c>
      <c r="F161" s="293" t="s">
        <v>672</v>
      </c>
      <c r="G161" s="293" t="s">
        <v>13217</v>
      </c>
      <c r="H161" s="296" t="s">
        <v>15855</v>
      </c>
      <c r="I161" s="297" t="s">
        <v>1535</v>
      </c>
      <c r="J161" s="297" t="s">
        <v>1536</v>
      </c>
      <c r="K161" s="298" t="s">
        <v>15855</v>
      </c>
      <c r="L161" s="298" t="s">
        <v>15855</v>
      </c>
      <c r="M161" s="298" t="s">
        <v>15855</v>
      </c>
      <c r="N161" s="298" t="s">
        <v>15855</v>
      </c>
      <c r="O161" s="298" t="s">
        <v>15855</v>
      </c>
      <c r="P161" s="299" t="s">
        <v>15857</v>
      </c>
      <c r="Q161" s="300" t="s">
        <v>15855</v>
      </c>
      <c r="R161" s="182" t="str">
        <f ca="1">IF(ISERROR($V161),"",OFFSET('Smelter Look-up'!$C$4,$V161-4,0)&amp;"")</f>
        <v>Heimerle + Meule GmbH</v>
      </c>
      <c r="S161" s="181" t="str">
        <f t="shared" ca="1" si="20"/>
        <v>DE</v>
      </c>
      <c r="T161" s="181" t="str">
        <f ca="1">IF(B161="","",IF(ISERROR(MATCH($J161,SorP!$B$1:$B$6226,0)),"",INDIRECT("'SorP'!$A$"&amp;MATCH($S161&amp;$J161,SorP!C:C,0))))</f>
        <v>DE-BW</v>
      </c>
      <c r="U161" s="201"/>
      <c r="V161" s="226">
        <f>IF(C161="",NA(),IF(OR(C161="Smelter not listed",C161="Smelter not yet identified"),MATCH($B161&amp;$D161,'Smelter Look-up'!$J:$J,0),MATCH($B161&amp;$C161,'Smelter Look-up'!$J:$J,0)))</f>
        <v>105</v>
      </c>
      <c r="X161" s="227">
        <f t="shared" si="21"/>
        <v>0</v>
      </c>
      <c r="AB161" s="228" t="str">
        <f t="shared" si="22"/>
        <v>GoldHeimerle + Meule GmbH</v>
      </c>
    </row>
    <row r="162" spans="1:28" s="227" customFormat="1" ht="54">
      <c r="A162" s="301" t="s">
        <v>672</v>
      </c>
      <c r="B162" s="293" t="s">
        <v>1119</v>
      </c>
      <c r="C162" s="294" t="s">
        <v>1029</v>
      </c>
      <c r="D162" s="295" t="s">
        <v>1029</v>
      </c>
      <c r="E162" s="293" t="s">
        <v>1091</v>
      </c>
      <c r="F162" s="293" t="s">
        <v>672</v>
      </c>
      <c r="G162" s="293" t="s">
        <v>13217</v>
      </c>
      <c r="H162" s="296" t="s">
        <v>15855</v>
      </c>
      <c r="I162" s="297" t="s">
        <v>1535</v>
      </c>
      <c r="J162" s="297" t="s">
        <v>1536</v>
      </c>
      <c r="K162" s="298" t="s">
        <v>15855</v>
      </c>
      <c r="L162" s="298" t="s">
        <v>15855</v>
      </c>
      <c r="M162" s="298" t="s">
        <v>15855</v>
      </c>
      <c r="N162" s="298" t="s">
        <v>15855</v>
      </c>
      <c r="O162" s="298" t="s">
        <v>15858</v>
      </c>
      <c r="P162" s="299" t="s">
        <v>15857</v>
      </c>
      <c r="Q162" s="300" t="s">
        <v>15855</v>
      </c>
      <c r="R162" s="182" t="str">
        <f ca="1">IF(ISERROR($V162),"",OFFSET('Smelter Look-up'!$C$4,$V162-4,0)&amp;"")</f>
        <v>Heimerle + Meule GmbH</v>
      </c>
      <c r="S162" s="181" t="str">
        <f t="shared" ca="1" si="20"/>
        <v>DE</v>
      </c>
      <c r="T162" s="181" t="str">
        <f ca="1">IF(B162="","",IF(ISERROR(MATCH($J162,SorP!$B$1:$B$6226,0)),"",INDIRECT("'SorP'!$A$"&amp;MATCH($S162&amp;$J162,SorP!C:C,0))))</f>
        <v>DE-BW</v>
      </c>
      <c r="U162" s="201"/>
      <c r="V162" s="226">
        <f>IF(C162="",NA(),IF(OR(C162="Smelter not listed",C162="Smelter not yet identified"),MATCH($B162&amp;$D162,'Smelter Look-up'!$J:$J,0),MATCH($B162&amp;$C162,'Smelter Look-up'!$J:$J,0)))</f>
        <v>105</v>
      </c>
      <c r="X162" s="227">
        <f t="shared" si="21"/>
        <v>0</v>
      </c>
      <c r="AB162" s="228" t="str">
        <f t="shared" si="22"/>
        <v>GoldHeimerle + Meule GmbH</v>
      </c>
    </row>
    <row r="163" spans="1:28" s="227" customFormat="1" ht="54">
      <c r="A163" s="301" t="s">
        <v>672</v>
      </c>
      <c r="B163" s="293" t="s">
        <v>1119</v>
      </c>
      <c r="C163" s="294" t="s">
        <v>1029</v>
      </c>
      <c r="D163" s="295" t="s">
        <v>1029</v>
      </c>
      <c r="E163" s="293" t="s">
        <v>1091</v>
      </c>
      <c r="F163" s="293" t="s">
        <v>672</v>
      </c>
      <c r="G163" s="293" t="s">
        <v>13217</v>
      </c>
      <c r="H163" s="296" t="s">
        <v>15855</v>
      </c>
      <c r="I163" s="297" t="s">
        <v>1535</v>
      </c>
      <c r="J163" s="297" t="s">
        <v>1536</v>
      </c>
      <c r="K163" s="298" t="s">
        <v>15995</v>
      </c>
      <c r="L163" s="298" t="s">
        <v>15996</v>
      </c>
      <c r="M163" s="298" t="s">
        <v>15892</v>
      </c>
      <c r="N163" s="298" t="s">
        <v>15862</v>
      </c>
      <c r="O163" s="298" t="s">
        <v>15893</v>
      </c>
      <c r="P163" s="299" t="s">
        <v>15857</v>
      </c>
      <c r="Q163" s="300" t="s">
        <v>15855</v>
      </c>
      <c r="R163" s="182" t="str">
        <f ca="1">IF(ISERROR($V163),"",OFFSET('Smelter Look-up'!$C$4,$V163-4,0)&amp;"")</f>
        <v>Heimerle + Meule GmbH</v>
      </c>
      <c r="S163" s="181" t="str">
        <f t="shared" ca="1" si="20"/>
        <v>DE</v>
      </c>
      <c r="T163" s="181" t="str">
        <f ca="1">IF(B163="","",IF(ISERROR(MATCH($J163,SorP!$B$1:$B$6226,0)),"",INDIRECT("'SorP'!$A$"&amp;MATCH($S163&amp;$J163,SorP!C:C,0))))</f>
        <v>DE-BW</v>
      </c>
      <c r="U163" s="201"/>
      <c r="V163" s="226">
        <f>IF(C163="",NA(),IF(OR(C163="Smelter not listed",C163="Smelter not yet identified"),MATCH($B163&amp;$D163,'Smelter Look-up'!$J:$J,0),MATCH($B163&amp;$C163,'Smelter Look-up'!$J:$J,0)))</f>
        <v>105</v>
      </c>
      <c r="X163" s="227">
        <f t="shared" si="21"/>
        <v>0</v>
      </c>
      <c r="AB163" s="228" t="str">
        <f t="shared" si="22"/>
        <v>GoldHeimerle + Meule GmbH</v>
      </c>
    </row>
    <row r="164" spans="1:28" s="227" customFormat="1" ht="54">
      <c r="A164" s="301" t="s">
        <v>672</v>
      </c>
      <c r="B164" s="293" t="s">
        <v>1119</v>
      </c>
      <c r="C164" s="294" t="s">
        <v>1029</v>
      </c>
      <c r="D164" s="295" t="s">
        <v>1029</v>
      </c>
      <c r="E164" s="293" t="s">
        <v>1091</v>
      </c>
      <c r="F164" s="293" t="s">
        <v>672</v>
      </c>
      <c r="G164" s="293" t="s">
        <v>13217</v>
      </c>
      <c r="H164" s="302" t="s">
        <v>15880</v>
      </c>
      <c r="I164" s="297" t="s">
        <v>1535</v>
      </c>
      <c r="J164" s="297" t="s">
        <v>1536</v>
      </c>
      <c r="K164" s="298" t="s">
        <v>15855</v>
      </c>
      <c r="L164" s="298" t="s">
        <v>15855</v>
      </c>
      <c r="M164" s="298" t="s">
        <v>15855</v>
      </c>
      <c r="N164" s="298" t="s">
        <v>15855</v>
      </c>
      <c r="O164" s="298" t="s">
        <v>15855</v>
      </c>
      <c r="P164" s="299" t="s">
        <v>15857</v>
      </c>
      <c r="Q164" s="300" t="s">
        <v>15855</v>
      </c>
      <c r="R164" s="182" t="str">
        <f ca="1">IF(ISERROR($V164),"",OFFSET('Smelter Look-up'!$C$4,$V164-4,0)&amp;"")</f>
        <v>Heimerle + Meule GmbH</v>
      </c>
      <c r="S164" s="181" t="str">
        <f t="shared" ca="1" si="20"/>
        <v>DE</v>
      </c>
      <c r="T164" s="181" t="str">
        <f ca="1">IF(B164="","",IF(ISERROR(MATCH($J164,SorP!$B$1:$B$6226,0)),"",INDIRECT("'SorP'!$A$"&amp;MATCH($S164&amp;$J164,SorP!C:C,0))))</f>
        <v>DE-BW</v>
      </c>
      <c r="U164" s="201"/>
      <c r="V164" s="226">
        <f>IF(C164="",NA(),IF(OR(C164="Smelter not listed",C164="Smelter not yet identified"),MATCH($B164&amp;$D164,'Smelter Look-up'!$J:$J,0),MATCH($B164&amp;$C164,'Smelter Look-up'!$J:$J,0)))</f>
        <v>105</v>
      </c>
      <c r="X164" s="227">
        <f t="shared" si="21"/>
        <v>0</v>
      </c>
      <c r="AB164" s="228" t="str">
        <f t="shared" si="22"/>
        <v>GoldHeimerle + Meule GmbH</v>
      </c>
    </row>
    <row r="165" spans="1:28" s="227" customFormat="1" ht="67.5">
      <c r="A165" s="301" t="s">
        <v>674</v>
      </c>
      <c r="B165" s="293" t="s">
        <v>1119</v>
      </c>
      <c r="C165" s="294" t="s">
        <v>15030</v>
      </c>
      <c r="D165" s="295" t="s">
        <v>15030</v>
      </c>
      <c r="E165" s="293" t="s">
        <v>1091</v>
      </c>
      <c r="F165" s="293" t="s">
        <v>674</v>
      </c>
      <c r="G165" s="293" t="s">
        <v>13217</v>
      </c>
      <c r="H165" s="296" t="s">
        <v>15855</v>
      </c>
      <c r="I165" s="297" t="s">
        <v>1582</v>
      </c>
      <c r="J165" s="297" t="s">
        <v>4226</v>
      </c>
      <c r="K165" s="298" t="s">
        <v>15855</v>
      </c>
      <c r="L165" s="298" t="s">
        <v>15855</v>
      </c>
      <c r="M165" s="298" t="s">
        <v>15855</v>
      </c>
      <c r="N165" s="298" t="s">
        <v>15855</v>
      </c>
      <c r="O165" s="298" t="s">
        <v>15855</v>
      </c>
      <c r="P165" s="299" t="s">
        <v>15857</v>
      </c>
      <c r="Q165" s="300" t="s">
        <v>15855</v>
      </c>
      <c r="R165" s="182" t="str">
        <f ca="1">IF(ISERROR($V165),"",OFFSET('Smelter Look-up'!$C$4,$V165-4,0)&amp;"")</f>
        <v>Heraeus Germany GmbH Co. KG</v>
      </c>
      <c r="S165" s="181" t="str">
        <f t="shared" ca="1" si="20"/>
        <v>DE</v>
      </c>
      <c r="T165" s="181" t="str">
        <f ca="1">IF(B165="","",IF(ISERROR(MATCH($J165,SorP!$B$1:$B$6226,0)),"",INDIRECT("'SorP'!$A$"&amp;MATCH($S165&amp;$J165,SorP!C:C,0))))</f>
        <v>DE-HE</v>
      </c>
      <c r="U165" s="201"/>
      <c r="V165" s="226">
        <f>IF(C165="",NA(),IF(OR(C165="Smelter not listed",C165="Smelter not yet identified"),MATCH($B165&amp;$D165,'Smelter Look-up'!$J:$J,0),MATCH($B165&amp;$C165,'Smelter Look-up'!$J:$J,0)))</f>
        <v>109</v>
      </c>
      <c r="X165" s="227">
        <f t="shared" si="21"/>
        <v>0</v>
      </c>
      <c r="AB165" s="228" t="str">
        <f t="shared" si="22"/>
        <v>GoldHeraeus Germany GmbH Co. KG</v>
      </c>
    </row>
    <row r="166" spans="1:28" s="227" customFormat="1" ht="67.5">
      <c r="A166" s="301" t="s">
        <v>674</v>
      </c>
      <c r="B166" s="293" t="s">
        <v>1119</v>
      </c>
      <c r="C166" s="294" t="s">
        <v>15030</v>
      </c>
      <c r="D166" s="295" t="s">
        <v>15030</v>
      </c>
      <c r="E166" s="293" t="s">
        <v>1091</v>
      </c>
      <c r="F166" s="293" t="s">
        <v>674</v>
      </c>
      <c r="G166" s="293" t="s">
        <v>13217</v>
      </c>
      <c r="H166" s="296" t="s">
        <v>15855</v>
      </c>
      <c r="I166" s="297" t="s">
        <v>1582</v>
      </c>
      <c r="J166" s="297" t="s">
        <v>4226</v>
      </c>
      <c r="K166" s="298" t="s">
        <v>15855</v>
      </c>
      <c r="L166" s="298" t="s">
        <v>15855</v>
      </c>
      <c r="M166" s="298" t="s">
        <v>15855</v>
      </c>
      <c r="N166" s="298" t="s">
        <v>15855</v>
      </c>
      <c r="O166" s="298" t="s">
        <v>15866</v>
      </c>
      <c r="P166" s="299" t="s">
        <v>15857</v>
      </c>
      <c r="Q166" s="300" t="s">
        <v>15855</v>
      </c>
      <c r="R166" s="182" t="str">
        <f ca="1">IF(ISERROR($V166),"",OFFSET('Smelter Look-up'!$C$4,$V166-4,0)&amp;"")</f>
        <v>Heraeus Germany GmbH Co. KG</v>
      </c>
      <c r="S166" s="181" t="str">
        <f t="shared" ref="S166:S196" ca="1" si="23">IF(B166="","",IF(ISERROR(MATCH($E166,CL,0)),"Unknown",INDIRECT("'C'!$A$"&amp;MATCH($E166,CL,0)+1)))</f>
        <v>DE</v>
      </c>
      <c r="T166" s="181" t="str">
        <f ca="1">IF(B166="","",IF(ISERROR(MATCH($J166,SorP!$B$1:$B$6226,0)),"",INDIRECT("'SorP'!$A$"&amp;MATCH($S166&amp;$J166,SorP!C:C,0))))</f>
        <v>DE-HE</v>
      </c>
      <c r="U166" s="201"/>
      <c r="V166" s="226">
        <f>IF(C166="",NA(),IF(OR(C166="Smelter not listed",C166="Smelter not yet identified"),MATCH($B166&amp;$D166,'Smelter Look-up'!$J:$J,0),MATCH($B166&amp;$C166,'Smelter Look-up'!$J:$J,0)))</f>
        <v>109</v>
      </c>
      <c r="X166" s="227">
        <f t="shared" ref="X166:X196" si="24">IF(AND(C166="Smelter not listed",OR(LEN(D166)=0,LEN(E166)=0)),1,0)</f>
        <v>0</v>
      </c>
      <c r="AB166" s="228" t="str">
        <f t="shared" ref="AB166:AB196" si="25">B166&amp;C166</f>
        <v>GoldHeraeus Germany GmbH Co. KG</v>
      </c>
    </row>
    <row r="167" spans="1:28" s="227" customFormat="1" ht="67.5">
      <c r="A167" s="301" t="s">
        <v>674</v>
      </c>
      <c r="B167" s="293" t="s">
        <v>1119</v>
      </c>
      <c r="C167" s="294" t="s">
        <v>15030</v>
      </c>
      <c r="D167" s="295" t="s">
        <v>15030</v>
      </c>
      <c r="E167" s="293" t="s">
        <v>1091</v>
      </c>
      <c r="F167" s="293" t="s">
        <v>674</v>
      </c>
      <c r="G167" s="293" t="s">
        <v>13217</v>
      </c>
      <c r="H167" s="296" t="s">
        <v>15855</v>
      </c>
      <c r="I167" s="297" t="s">
        <v>1582</v>
      </c>
      <c r="J167" s="297" t="s">
        <v>4226</v>
      </c>
      <c r="K167" s="298" t="s">
        <v>15997</v>
      </c>
      <c r="L167" s="298" t="s">
        <v>15998</v>
      </c>
      <c r="M167" s="298" t="s">
        <v>15869</v>
      </c>
      <c r="N167" s="298" t="s">
        <v>15862</v>
      </c>
      <c r="O167" s="298" t="s">
        <v>15999</v>
      </c>
      <c r="P167" s="299" t="s">
        <v>15857</v>
      </c>
      <c r="Q167" s="300" t="s">
        <v>15855</v>
      </c>
      <c r="R167" s="182" t="str">
        <f ca="1">IF(ISERROR($V167),"",OFFSET('Smelter Look-up'!$C$4,$V167-4,0)&amp;"")</f>
        <v>Heraeus Germany GmbH Co. KG</v>
      </c>
      <c r="S167" s="181" t="str">
        <f t="shared" ca="1" si="23"/>
        <v>DE</v>
      </c>
      <c r="T167" s="181" t="str">
        <f ca="1">IF(B167="","",IF(ISERROR(MATCH($J167,SorP!$B$1:$B$6226,0)),"",INDIRECT("'SorP'!$A$"&amp;MATCH($S167&amp;$J167,SorP!C:C,0))))</f>
        <v>DE-HE</v>
      </c>
      <c r="U167" s="201"/>
      <c r="V167" s="226">
        <f>IF(C167="",NA(),IF(OR(C167="Smelter not listed",C167="Smelter not yet identified"),MATCH($B167&amp;$D167,'Smelter Look-up'!$J:$J,0),MATCH($B167&amp;$C167,'Smelter Look-up'!$J:$J,0)))</f>
        <v>109</v>
      </c>
      <c r="X167" s="227">
        <f t="shared" si="24"/>
        <v>0</v>
      </c>
      <c r="AB167" s="228" t="str">
        <f t="shared" si="25"/>
        <v>GoldHeraeus Germany GmbH Co. KG</v>
      </c>
    </row>
    <row r="168" spans="1:28" s="227" customFormat="1" ht="54">
      <c r="A168" s="301" t="s">
        <v>673</v>
      </c>
      <c r="B168" s="293" t="s">
        <v>1119</v>
      </c>
      <c r="C168" s="294" t="s">
        <v>52</v>
      </c>
      <c r="D168" s="295" t="s">
        <v>2483</v>
      </c>
      <c r="E168" s="293" t="s">
        <v>1090</v>
      </c>
      <c r="F168" s="293" t="s">
        <v>673</v>
      </c>
      <c r="G168" s="293" t="s">
        <v>15864</v>
      </c>
      <c r="H168" s="302" t="s">
        <v>15880</v>
      </c>
      <c r="I168" s="297" t="s">
        <v>1581</v>
      </c>
      <c r="J168" s="297" t="s">
        <v>16000</v>
      </c>
      <c r="K168" s="298" t="s">
        <v>15855</v>
      </c>
      <c r="L168" s="298" t="s">
        <v>15855</v>
      </c>
      <c r="M168" s="298" t="s">
        <v>15855</v>
      </c>
      <c r="N168" s="298" t="s">
        <v>15855</v>
      </c>
      <c r="O168" s="298" t="s">
        <v>15855</v>
      </c>
      <c r="P168" s="299" t="s">
        <v>15857</v>
      </c>
      <c r="Q168" s="300" t="s">
        <v>15855</v>
      </c>
      <c r="R168" s="182" t="str">
        <f ca="1">IF(ISERROR($V168),"",OFFSET('Smelter Look-up'!$C$4,$V168-4,0)&amp;"")</f>
        <v>Heraeus Metals Hong Kong Ltd.</v>
      </c>
      <c r="S168" s="181" t="str">
        <f t="shared" ca="1" si="23"/>
        <v>CN</v>
      </c>
      <c r="T168" s="181" t="str">
        <f ca="1">IF(B168="","",IF(ISERROR(MATCH($J168,SorP!$B$1:$B$6226,0)),"",INDIRECT("'SorP'!$A$"&amp;MATCH($S168&amp;$J168,SorP!C:C,0))))</f>
        <v/>
      </c>
      <c r="U168" s="201"/>
      <c r="V168" s="226">
        <f>IF(C168="",NA(),IF(OR(C168="Smelter not listed",C168="Smelter not yet identified"),MATCH($B168&amp;$D168,'Smelter Look-up'!$J:$J,0),MATCH($B168&amp;$C168,'Smelter Look-up'!$J:$J,0)))</f>
        <v>110</v>
      </c>
      <c r="X168" s="227">
        <f t="shared" si="24"/>
        <v>0</v>
      </c>
      <c r="AB168" s="228" t="str">
        <f t="shared" si="25"/>
        <v>GoldHeraeus Ltd. Hong Kong</v>
      </c>
    </row>
    <row r="169" spans="1:28" s="227" customFormat="1" ht="54">
      <c r="A169" s="301" t="s">
        <v>673</v>
      </c>
      <c r="B169" s="293" t="s">
        <v>1119</v>
      </c>
      <c r="C169" s="294" t="s">
        <v>52</v>
      </c>
      <c r="D169" s="295" t="s">
        <v>2483</v>
      </c>
      <c r="E169" s="293" t="s">
        <v>1090</v>
      </c>
      <c r="F169" s="293" t="s">
        <v>673</v>
      </c>
      <c r="G169" s="293" t="s">
        <v>15865</v>
      </c>
      <c r="H169" s="296" t="s">
        <v>15855</v>
      </c>
      <c r="I169" s="297" t="s">
        <v>1581</v>
      </c>
      <c r="J169" s="297" t="s">
        <v>16000</v>
      </c>
      <c r="K169" s="298" t="s">
        <v>15855</v>
      </c>
      <c r="L169" s="298" t="s">
        <v>15855</v>
      </c>
      <c r="M169" s="298" t="s">
        <v>15855</v>
      </c>
      <c r="N169" s="298" t="s">
        <v>15855</v>
      </c>
      <c r="O169" s="298" t="s">
        <v>15855</v>
      </c>
      <c r="P169" s="299" t="s">
        <v>15857</v>
      </c>
      <c r="Q169" s="300" t="s">
        <v>15855</v>
      </c>
      <c r="R169" s="182" t="str">
        <f ca="1">IF(ISERROR($V169),"",OFFSET('Smelter Look-up'!$C$4,$V169-4,0)&amp;"")</f>
        <v>Heraeus Metals Hong Kong Ltd.</v>
      </c>
      <c r="S169" s="181" t="str">
        <f t="shared" ca="1" si="23"/>
        <v>CN</v>
      </c>
      <c r="T169" s="181" t="str">
        <f ca="1">IF(B169="","",IF(ISERROR(MATCH($J169,SorP!$B$1:$B$6226,0)),"",INDIRECT("'SorP'!$A$"&amp;MATCH($S169&amp;$J169,SorP!C:C,0))))</f>
        <v/>
      </c>
      <c r="U169" s="201"/>
      <c r="V169" s="226">
        <f>IF(C169="",NA(),IF(OR(C169="Smelter not listed",C169="Smelter not yet identified"),MATCH($B169&amp;$D169,'Smelter Look-up'!$J:$J,0),MATCH($B169&amp;$C169,'Smelter Look-up'!$J:$J,0)))</f>
        <v>110</v>
      </c>
      <c r="X169" s="227">
        <f t="shared" si="24"/>
        <v>0</v>
      </c>
      <c r="AB169" s="228" t="str">
        <f t="shared" si="25"/>
        <v>GoldHeraeus Ltd. Hong Kong</v>
      </c>
    </row>
    <row r="170" spans="1:28" s="227" customFormat="1" ht="54">
      <c r="A170" s="301" t="s">
        <v>673</v>
      </c>
      <c r="B170" s="293" t="s">
        <v>1119</v>
      </c>
      <c r="C170" s="294" t="s">
        <v>52</v>
      </c>
      <c r="D170" s="295" t="s">
        <v>2483</v>
      </c>
      <c r="E170" s="293" t="s">
        <v>1090</v>
      </c>
      <c r="F170" s="293" t="s">
        <v>673</v>
      </c>
      <c r="G170" s="293" t="s">
        <v>13217</v>
      </c>
      <c r="H170" s="296" t="s">
        <v>15855</v>
      </c>
      <c r="I170" s="297" t="s">
        <v>1581</v>
      </c>
      <c r="J170" s="297" t="s">
        <v>15779</v>
      </c>
      <c r="K170" s="298" t="s">
        <v>15855</v>
      </c>
      <c r="L170" s="298" t="s">
        <v>15855</v>
      </c>
      <c r="M170" s="298" t="s">
        <v>15855</v>
      </c>
      <c r="N170" s="298" t="s">
        <v>15855</v>
      </c>
      <c r="O170" s="298" t="s">
        <v>15855</v>
      </c>
      <c r="P170" s="299" t="s">
        <v>15857</v>
      </c>
      <c r="Q170" s="300" t="s">
        <v>15855</v>
      </c>
      <c r="R170" s="182" t="str">
        <f ca="1">IF(ISERROR($V170),"",OFFSET('Smelter Look-up'!$C$4,$V170-4,0)&amp;"")</f>
        <v>Heraeus Metals Hong Kong Ltd.</v>
      </c>
      <c r="S170" s="181" t="str">
        <f t="shared" ca="1" si="23"/>
        <v>CN</v>
      </c>
      <c r="T170" s="181" t="str">
        <f ca="1">IF(B170="","",IF(ISERROR(MATCH($J170,SorP!$B$1:$B$6226,0)),"",INDIRECT("'SorP'!$A$"&amp;MATCH($S170&amp;$J170,SorP!C:C,0))))</f>
        <v>CN-HK</v>
      </c>
      <c r="U170" s="201"/>
      <c r="V170" s="226">
        <f>IF(C170="",NA(),IF(OR(C170="Smelter not listed",C170="Smelter not yet identified"),MATCH($B170&amp;$D170,'Smelter Look-up'!$J:$J,0),MATCH($B170&amp;$C170,'Smelter Look-up'!$J:$J,0)))</f>
        <v>110</v>
      </c>
      <c r="X170" s="227">
        <f t="shared" si="24"/>
        <v>0</v>
      </c>
      <c r="AB170" s="228" t="str">
        <f t="shared" si="25"/>
        <v>GoldHeraeus Ltd. Hong Kong</v>
      </c>
    </row>
    <row r="171" spans="1:28" s="227" customFormat="1" ht="54">
      <c r="A171" s="301" t="s">
        <v>673</v>
      </c>
      <c r="B171" s="293" t="s">
        <v>1119</v>
      </c>
      <c r="C171" s="294" t="s">
        <v>52</v>
      </c>
      <c r="D171" s="295" t="s">
        <v>2483</v>
      </c>
      <c r="E171" s="293" t="s">
        <v>1090</v>
      </c>
      <c r="F171" s="293" t="s">
        <v>673</v>
      </c>
      <c r="G171" s="293" t="s">
        <v>13217</v>
      </c>
      <c r="H171" s="302" t="s">
        <v>15880</v>
      </c>
      <c r="I171" s="297" t="s">
        <v>1581</v>
      </c>
      <c r="J171" s="297" t="s">
        <v>15779</v>
      </c>
      <c r="K171" s="298" t="s">
        <v>16001</v>
      </c>
      <c r="L171" s="298" t="s">
        <v>486</v>
      </c>
      <c r="M171" s="298" t="s">
        <v>16002</v>
      </c>
      <c r="N171" s="298" t="s">
        <v>16002</v>
      </c>
      <c r="O171" s="298" t="s">
        <v>15989</v>
      </c>
      <c r="P171" s="299" t="s">
        <v>15875</v>
      </c>
      <c r="Q171" s="300" t="s">
        <v>15855</v>
      </c>
      <c r="R171" s="182" t="str">
        <f ca="1">IF(ISERROR($V171),"",OFFSET('Smelter Look-up'!$C$4,$V171-4,0)&amp;"")</f>
        <v>Heraeus Metals Hong Kong Ltd.</v>
      </c>
      <c r="S171" s="181" t="str">
        <f t="shared" ca="1" si="23"/>
        <v>CN</v>
      </c>
      <c r="T171" s="181" t="str">
        <f ca="1">IF(B171="","",IF(ISERROR(MATCH($J171,SorP!$B$1:$B$6226,0)),"",INDIRECT("'SorP'!$A$"&amp;MATCH($S171&amp;$J171,SorP!C:C,0))))</f>
        <v>CN-HK</v>
      </c>
      <c r="U171" s="201"/>
      <c r="V171" s="226">
        <f>IF(C171="",NA(),IF(OR(C171="Smelter not listed",C171="Smelter not yet identified"),MATCH($B171&amp;$D171,'Smelter Look-up'!$J:$J,0),MATCH($B171&amp;$C171,'Smelter Look-up'!$J:$J,0)))</f>
        <v>110</v>
      </c>
      <c r="X171" s="227">
        <f t="shared" si="24"/>
        <v>0</v>
      </c>
      <c r="AB171" s="228" t="str">
        <f t="shared" si="25"/>
        <v>GoldHeraeus Ltd. Hong Kong</v>
      </c>
    </row>
    <row r="172" spans="1:28" s="227" customFormat="1" ht="54">
      <c r="A172" s="301" t="s">
        <v>673</v>
      </c>
      <c r="B172" s="293" t="s">
        <v>1119</v>
      </c>
      <c r="C172" s="294" t="s">
        <v>52</v>
      </c>
      <c r="D172" s="295" t="s">
        <v>2483</v>
      </c>
      <c r="E172" s="293" t="s">
        <v>1090</v>
      </c>
      <c r="F172" s="293" t="s">
        <v>673</v>
      </c>
      <c r="G172" s="293" t="s">
        <v>13217</v>
      </c>
      <c r="H172" s="296" t="s">
        <v>16003</v>
      </c>
      <c r="I172" s="297" t="s">
        <v>1581</v>
      </c>
      <c r="J172" s="297" t="s">
        <v>15779</v>
      </c>
      <c r="K172" s="298" t="s">
        <v>16004</v>
      </c>
      <c r="L172" s="298" t="s">
        <v>16001</v>
      </c>
      <c r="M172" s="298" t="s">
        <v>15855</v>
      </c>
      <c r="N172" s="298" t="s">
        <v>16005</v>
      </c>
      <c r="O172" s="298" t="s">
        <v>1090</v>
      </c>
      <c r="P172" s="299" t="s">
        <v>15857</v>
      </c>
      <c r="Q172" s="300" t="s">
        <v>16006</v>
      </c>
      <c r="R172" s="182" t="str">
        <f ca="1">IF(ISERROR($V172),"",OFFSET('Smelter Look-up'!$C$4,$V172-4,0)&amp;"")</f>
        <v>Heraeus Metals Hong Kong Ltd.</v>
      </c>
      <c r="S172" s="181" t="str">
        <f t="shared" ca="1" si="23"/>
        <v>CN</v>
      </c>
      <c r="T172" s="181" t="str">
        <f ca="1">IF(B172="","",IF(ISERROR(MATCH($J172,SorP!$B$1:$B$6226,0)),"",INDIRECT("'SorP'!$A$"&amp;MATCH($S172&amp;$J172,SorP!C:C,0))))</f>
        <v>CN-HK</v>
      </c>
      <c r="U172" s="201"/>
      <c r="V172" s="226">
        <f>IF(C172="",NA(),IF(OR(C172="Smelter not listed",C172="Smelter not yet identified"),MATCH($B172&amp;$D172,'Smelter Look-up'!$J:$J,0),MATCH($B172&amp;$C172,'Smelter Look-up'!$J:$J,0)))</f>
        <v>110</v>
      </c>
      <c r="X172" s="227">
        <f t="shared" si="24"/>
        <v>0</v>
      </c>
      <c r="AB172" s="228" t="str">
        <f t="shared" si="25"/>
        <v>GoldHeraeus Ltd. Hong Kong</v>
      </c>
    </row>
    <row r="173" spans="1:28" s="227" customFormat="1" ht="54">
      <c r="A173" s="301" t="s">
        <v>673</v>
      </c>
      <c r="B173" s="293" t="s">
        <v>1119</v>
      </c>
      <c r="C173" s="294" t="s">
        <v>52</v>
      </c>
      <c r="D173" s="295" t="s">
        <v>2483</v>
      </c>
      <c r="E173" s="293" t="s">
        <v>1090</v>
      </c>
      <c r="F173" s="293" t="s">
        <v>673</v>
      </c>
      <c r="G173" s="293" t="s">
        <v>13217</v>
      </c>
      <c r="H173" s="296" t="s">
        <v>16007</v>
      </c>
      <c r="I173" s="297" t="s">
        <v>1581</v>
      </c>
      <c r="J173" s="297" t="s">
        <v>15779</v>
      </c>
      <c r="K173" s="298" t="s">
        <v>16008</v>
      </c>
      <c r="L173" s="298" t="s">
        <v>16009</v>
      </c>
      <c r="M173" s="298" t="s">
        <v>15855</v>
      </c>
      <c r="N173" s="298" t="s">
        <v>15855</v>
      </c>
      <c r="O173" s="298" t="s">
        <v>15855</v>
      </c>
      <c r="P173" s="299" t="s">
        <v>15857</v>
      </c>
      <c r="Q173" s="300" t="s">
        <v>16010</v>
      </c>
      <c r="R173" s="182" t="str">
        <f ca="1">IF(ISERROR($V173),"",OFFSET('Smelter Look-up'!$C$4,$V173-4,0)&amp;"")</f>
        <v>Heraeus Metals Hong Kong Ltd.</v>
      </c>
      <c r="S173" s="181" t="str">
        <f t="shared" ca="1" si="23"/>
        <v>CN</v>
      </c>
      <c r="T173" s="181" t="str">
        <f ca="1">IF(B173="","",IF(ISERROR(MATCH($J173,SorP!$B$1:$B$6226,0)),"",INDIRECT("'SorP'!$A$"&amp;MATCH($S173&amp;$J173,SorP!C:C,0))))</f>
        <v>CN-HK</v>
      </c>
      <c r="U173" s="201"/>
      <c r="V173" s="226">
        <f>IF(C173="",NA(),IF(OR(C173="Smelter not listed",C173="Smelter not yet identified"),MATCH($B173&amp;$D173,'Smelter Look-up'!$J:$J,0),MATCH($B173&amp;$C173,'Smelter Look-up'!$J:$J,0)))</f>
        <v>110</v>
      </c>
      <c r="X173" s="227">
        <f t="shared" si="24"/>
        <v>0</v>
      </c>
      <c r="AB173" s="228" t="str">
        <f t="shared" si="25"/>
        <v>GoldHeraeus Ltd. Hong Kong</v>
      </c>
    </row>
    <row r="174" spans="1:28" s="227" customFormat="1" ht="81">
      <c r="A174" s="301" t="s">
        <v>673</v>
      </c>
      <c r="B174" s="293" t="s">
        <v>1119</v>
      </c>
      <c r="C174" s="294" t="s">
        <v>2483</v>
      </c>
      <c r="D174" s="295" t="s">
        <v>2483</v>
      </c>
      <c r="E174" s="293" t="s">
        <v>1090</v>
      </c>
      <c r="F174" s="293" t="s">
        <v>673</v>
      </c>
      <c r="G174" s="293" t="s">
        <v>15864</v>
      </c>
      <c r="H174" s="302" t="s">
        <v>15880</v>
      </c>
      <c r="I174" s="297" t="s">
        <v>1581</v>
      </c>
      <c r="J174" s="297" t="s">
        <v>16000</v>
      </c>
      <c r="K174" s="298" t="s">
        <v>15855</v>
      </c>
      <c r="L174" s="298" t="s">
        <v>15855</v>
      </c>
      <c r="M174" s="298" t="s">
        <v>15855</v>
      </c>
      <c r="N174" s="298" t="s">
        <v>15896</v>
      </c>
      <c r="O174" s="298" t="s">
        <v>15896</v>
      </c>
      <c r="P174" s="299" t="s">
        <v>15857</v>
      </c>
      <c r="Q174" s="300" t="s">
        <v>15855</v>
      </c>
      <c r="R174" s="182" t="str">
        <f ca="1">IF(ISERROR($V174),"",OFFSET('Smelter Look-up'!$C$4,$V174-4,0)&amp;"")</f>
        <v>Heraeus Metals Hong Kong Ltd.</v>
      </c>
      <c r="S174" s="181" t="str">
        <f t="shared" ca="1" si="23"/>
        <v>CN</v>
      </c>
      <c r="T174" s="181" t="str">
        <f ca="1">IF(B174="","",IF(ISERROR(MATCH($J174,SorP!$B$1:$B$6226,0)),"",INDIRECT("'SorP'!$A$"&amp;MATCH($S174&amp;$J174,SorP!C:C,0))))</f>
        <v/>
      </c>
      <c r="U174" s="201"/>
      <c r="V174" s="226">
        <f>IF(C174="",NA(),IF(OR(C174="Smelter not listed",C174="Smelter not yet identified"),MATCH($B174&amp;$D174,'Smelter Look-up'!$J:$J,0),MATCH($B174&amp;$C174,'Smelter Look-up'!$J:$J,0)))</f>
        <v>111</v>
      </c>
      <c r="X174" s="227">
        <f t="shared" si="24"/>
        <v>0</v>
      </c>
      <c r="AB174" s="228" t="str">
        <f t="shared" si="25"/>
        <v>GoldHeraeus Metals Hong Kong Ltd.</v>
      </c>
    </row>
    <row r="175" spans="1:28" s="227" customFormat="1" ht="81">
      <c r="A175" s="301" t="s">
        <v>673</v>
      </c>
      <c r="B175" s="293" t="s">
        <v>1119</v>
      </c>
      <c r="C175" s="294" t="s">
        <v>2483</v>
      </c>
      <c r="D175" s="295" t="s">
        <v>2483</v>
      </c>
      <c r="E175" s="293" t="s">
        <v>1090</v>
      </c>
      <c r="F175" s="293" t="s">
        <v>673</v>
      </c>
      <c r="G175" s="293" t="s">
        <v>15865</v>
      </c>
      <c r="H175" s="296" t="s">
        <v>15855</v>
      </c>
      <c r="I175" s="297" t="s">
        <v>1581</v>
      </c>
      <c r="J175" s="297" t="s">
        <v>16000</v>
      </c>
      <c r="K175" s="298" t="s">
        <v>15855</v>
      </c>
      <c r="L175" s="298" t="s">
        <v>15855</v>
      </c>
      <c r="M175" s="298" t="s">
        <v>15855</v>
      </c>
      <c r="N175" s="298" t="s">
        <v>15855</v>
      </c>
      <c r="O175" s="298" t="s">
        <v>15855</v>
      </c>
      <c r="P175" s="299" t="s">
        <v>15857</v>
      </c>
      <c r="Q175" s="300" t="s">
        <v>15855</v>
      </c>
      <c r="R175" s="182" t="str">
        <f ca="1">IF(ISERROR($V175),"",OFFSET('Smelter Look-up'!$C$4,$V175-4,0)&amp;"")</f>
        <v>Heraeus Metals Hong Kong Ltd.</v>
      </c>
      <c r="S175" s="181" t="str">
        <f t="shared" ca="1" si="23"/>
        <v>CN</v>
      </c>
      <c r="T175" s="181" t="str">
        <f ca="1">IF(B175="","",IF(ISERROR(MATCH($J175,SorP!$B$1:$B$6226,0)),"",INDIRECT("'SorP'!$A$"&amp;MATCH($S175&amp;$J175,SorP!C:C,0))))</f>
        <v/>
      </c>
      <c r="U175" s="201"/>
      <c r="V175" s="226">
        <f>IF(C175="",NA(),IF(OR(C175="Smelter not listed",C175="Smelter not yet identified"),MATCH($B175&amp;$D175,'Smelter Look-up'!$J:$J,0),MATCH($B175&amp;$C175,'Smelter Look-up'!$J:$J,0)))</f>
        <v>111</v>
      </c>
      <c r="X175" s="227">
        <f t="shared" si="24"/>
        <v>0</v>
      </c>
      <c r="AB175" s="228" t="str">
        <f t="shared" si="25"/>
        <v>GoldHeraeus Metals Hong Kong Ltd.</v>
      </c>
    </row>
    <row r="176" spans="1:28" s="227" customFormat="1" ht="81">
      <c r="A176" s="301" t="s">
        <v>673</v>
      </c>
      <c r="B176" s="293" t="s">
        <v>1119</v>
      </c>
      <c r="C176" s="294" t="s">
        <v>2483</v>
      </c>
      <c r="D176" s="295" t="s">
        <v>2483</v>
      </c>
      <c r="E176" s="293" t="s">
        <v>1090</v>
      </c>
      <c r="F176" s="293" t="s">
        <v>673</v>
      </c>
      <c r="G176" s="293" t="s">
        <v>13217</v>
      </c>
      <c r="H176" s="296" t="s">
        <v>15855</v>
      </c>
      <c r="I176" s="297" t="s">
        <v>1581</v>
      </c>
      <c r="J176" s="297" t="s">
        <v>15779</v>
      </c>
      <c r="K176" s="298" t="s">
        <v>15855</v>
      </c>
      <c r="L176" s="298" t="s">
        <v>15855</v>
      </c>
      <c r="M176" s="298" t="s">
        <v>15855</v>
      </c>
      <c r="N176" s="298" t="s">
        <v>15855</v>
      </c>
      <c r="O176" s="298" t="s">
        <v>15855</v>
      </c>
      <c r="P176" s="299" t="s">
        <v>15857</v>
      </c>
      <c r="Q176" s="300" t="s">
        <v>15855</v>
      </c>
      <c r="R176" s="182" t="str">
        <f ca="1">IF(ISERROR($V176),"",OFFSET('Smelter Look-up'!$C$4,$V176-4,0)&amp;"")</f>
        <v>Heraeus Metals Hong Kong Ltd.</v>
      </c>
      <c r="S176" s="181" t="str">
        <f t="shared" ca="1" si="23"/>
        <v>CN</v>
      </c>
      <c r="T176" s="181" t="str">
        <f ca="1">IF(B176="","",IF(ISERROR(MATCH($J176,SorP!$B$1:$B$6226,0)),"",INDIRECT("'SorP'!$A$"&amp;MATCH($S176&amp;$J176,SorP!C:C,0))))</f>
        <v>CN-HK</v>
      </c>
      <c r="U176" s="201"/>
      <c r="V176" s="226">
        <f>IF(C176="",NA(),IF(OR(C176="Smelter not listed",C176="Smelter not yet identified"),MATCH($B176&amp;$D176,'Smelter Look-up'!$J:$J,0),MATCH($B176&amp;$C176,'Smelter Look-up'!$J:$J,0)))</f>
        <v>111</v>
      </c>
      <c r="X176" s="227">
        <f t="shared" si="24"/>
        <v>0</v>
      </c>
      <c r="AB176" s="228" t="str">
        <f t="shared" si="25"/>
        <v>GoldHeraeus Metals Hong Kong Ltd.</v>
      </c>
    </row>
    <row r="177" spans="1:28" s="227" customFormat="1" ht="81">
      <c r="A177" s="301" t="s">
        <v>673</v>
      </c>
      <c r="B177" s="293" t="s">
        <v>1119</v>
      </c>
      <c r="C177" s="294" t="s">
        <v>2483</v>
      </c>
      <c r="D177" s="295" t="s">
        <v>2483</v>
      </c>
      <c r="E177" s="293" t="s">
        <v>1090</v>
      </c>
      <c r="F177" s="293" t="s">
        <v>673</v>
      </c>
      <c r="G177" s="293" t="s">
        <v>13217</v>
      </c>
      <c r="H177" s="296" t="s">
        <v>15855</v>
      </c>
      <c r="I177" s="297" t="s">
        <v>1581</v>
      </c>
      <c r="J177" s="297" t="s">
        <v>15779</v>
      </c>
      <c r="K177" s="298" t="s">
        <v>15855</v>
      </c>
      <c r="L177" s="298" t="s">
        <v>15855</v>
      </c>
      <c r="M177" s="298" t="s">
        <v>15855</v>
      </c>
      <c r="N177" s="298" t="s">
        <v>15855</v>
      </c>
      <c r="O177" s="298" t="s">
        <v>15855</v>
      </c>
      <c r="P177" s="299" t="s">
        <v>15875</v>
      </c>
      <c r="Q177" s="300" t="s">
        <v>15855</v>
      </c>
      <c r="R177" s="182" t="str">
        <f ca="1">IF(ISERROR($V177),"",OFFSET('Smelter Look-up'!$C$4,$V177-4,0)&amp;"")</f>
        <v>Heraeus Metals Hong Kong Ltd.</v>
      </c>
      <c r="S177" s="181" t="str">
        <f t="shared" ca="1" si="23"/>
        <v>CN</v>
      </c>
      <c r="T177" s="181" t="str">
        <f ca="1">IF(B177="","",IF(ISERROR(MATCH($J177,SorP!$B$1:$B$6226,0)),"",INDIRECT("'SorP'!$A$"&amp;MATCH($S177&amp;$J177,SorP!C:C,0))))</f>
        <v>CN-HK</v>
      </c>
      <c r="U177" s="201"/>
      <c r="V177" s="226">
        <f>IF(C177="",NA(),IF(OR(C177="Smelter not listed",C177="Smelter not yet identified"),MATCH($B177&amp;$D177,'Smelter Look-up'!$J:$J,0),MATCH($B177&amp;$C177,'Smelter Look-up'!$J:$J,0)))</f>
        <v>111</v>
      </c>
      <c r="X177" s="227">
        <f t="shared" si="24"/>
        <v>0</v>
      </c>
      <c r="AB177" s="228" t="str">
        <f t="shared" si="25"/>
        <v>GoldHeraeus Metals Hong Kong Ltd.</v>
      </c>
    </row>
    <row r="178" spans="1:28" s="227" customFormat="1" ht="81">
      <c r="A178" s="301" t="s">
        <v>673</v>
      </c>
      <c r="B178" s="293" t="s">
        <v>1119</v>
      </c>
      <c r="C178" s="294" t="s">
        <v>2483</v>
      </c>
      <c r="D178" s="295" t="s">
        <v>2483</v>
      </c>
      <c r="E178" s="293" t="s">
        <v>1090</v>
      </c>
      <c r="F178" s="293" t="s">
        <v>673</v>
      </c>
      <c r="G178" s="293" t="s">
        <v>13217</v>
      </c>
      <c r="H178" s="296" t="s">
        <v>15855</v>
      </c>
      <c r="I178" s="297" t="s">
        <v>1581</v>
      </c>
      <c r="J178" s="297" t="s">
        <v>15779</v>
      </c>
      <c r="K178" s="298" t="s">
        <v>15855</v>
      </c>
      <c r="L178" s="298" t="s">
        <v>15855</v>
      </c>
      <c r="M178" s="298" t="s">
        <v>15855</v>
      </c>
      <c r="N178" s="298" t="s">
        <v>15855</v>
      </c>
      <c r="O178" s="298" t="s">
        <v>15925</v>
      </c>
      <c r="P178" s="299" t="s">
        <v>15857</v>
      </c>
      <c r="Q178" s="300" t="s">
        <v>15855</v>
      </c>
      <c r="R178" s="182" t="str">
        <f ca="1">IF(ISERROR($V178),"",OFFSET('Smelter Look-up'!$C$4,$V178-4,0)&amp;"")</f>
        <v>Heraeus Metals Hong Kong Ltd.</v>
      </c>
      <c r="S178" s="181" t="str">
        <f t="shared" ca="1" si="23"/>
        <v>CN</v>
      </c>
      <c r="T178" s="181" t="str">
        <f ca="1">IF(B178="","",IF(ISERROR(MATCH($J178,SorP!$B$1:$B$6226,0)),"",INDIRECT("'SorP'!$A$"&amp;MATCH($S178&amp;$J178,SorP!C:C,0))))</f>
        <v>CN-HK</v>
      </c>
      <c r="U178" s="201"/>
      <c r="V178" s="226">
        <f>IF(C178="",NA(),IF(OR(C178="Smelter not listed",C178="Smelter not yet identified"),MATCH($B178&amp;$D178,'Smelter Look-up'!$J:$J,0),MATCH($B178&amp;$C178,'Smelter Look-up'!$J:$J,0)))</f>
        <v>111</v>
      </c>
      <c r="X178" s="227">
        <f t="shared" si="24"/>
        <v>0</v>
      </c>
      <c r="AB178" s="228" t="str">
        <f t="shared" si="25"/>
        <v>GoldHeraeus Metals Hong Kong Ltd.</v>
      </c>
    </row>
    <row r="179" spans="1:28" s="227" customFormat="1" ht="81">
      <c r="A179" s="301" t="s">
        <v>673</v>
      </c>
      <c r="B179" s="293" t="s">
        <v>1119</v>
      </c>
      <c r="C179" s="294" t="s">
        <v>2483</v>
      </c>
      <c r="D179" s="295" t="s">
        <v>2483</v>
      </c>
      <c r="E179" s="293" t="s">
        <v>1090</v>
      </c>
      <c r="F179" s="293" t="s">
        <v>673</v>
      </c>
      <c r="G179" s="293" t="s">
        <v>13217</v>
      </c>
      <c r="H179" s="296" t="s">
        <v>15855</v>
      </c>
      <c r="I179" s="297" t="s">
        <v>1581</v>
      </c>
      <c r="J179" s="297" t="s">
        <v>15779</v>
      </c>
      <c r="K179" s="298" t="s">
        <v>16004</v>
      </c>
      <c r="L179" s="298" t="s">
        <v>16001</v>
      </c>
      <c r="M179" s="298" t="s">
        <v>15855</v>
      </c>
      <c r="N179" s="298" t="s">
        <v>15855</v>
      </c>
      <c r="O179" s="298" t="s">
        <v>1090</v>
      </c>
      <c r="P179" s="299" t="s">
        <v>15857</v>
      </c>
      <c r="Q179" s="300" t="s">
        <v>16006</v>
      </c>
      <c r="R179" s="182" t="str">
        <f ca="1">IF(ISERROR($V179),"",OFFSET('Smelter Look-up'!$C$4,$V179-4,0)&amp;"")</f>
        <v>Heraeus Metals Hong Kong Ltd.</v>
      </c>
      <c r="S179" s="181" t="str">
        <f t="shared" ca="1" si="23"/>
        <v>CN</v>
      </c>
      <c r="T179" s="181" t="str">
        <f ca="1">IF(B179="","",IF(ISERROR(MATCH($J179,SorP!$B$1:$B$6226,0)),"",INDIRECT("'SorP'!$A$"&amp;MATCH($S179&amp;$J179,SorP!C:C,0))))</f>
        <v>CN-HK</v>
      </c>
      <c r="U179" s="201"/>
      <c r="V179" s="226">
        <f>IF(C179="",NA(),IF(OR(C179="Smelter not listed",C179="Smelter not yet identified"),MATCH($B179&amp;$D179,'Smelter Look-up'!$J:$J,0),MATCH($B179&amp;$C179,'Smelter Look-up'!$J:$J,0)))</f>
        <v>111</v>
      </c>
      <c r="X179" s="227">
        <f t="shared" si="24"/>
        <v>0</v>
      </c>
      <c r="AB179" s="228" t="str">
        <f t="shared" si="25"/>
        <v>GoldHeraeus Metals Hong Kong Ltd.</v>
      </c>
    </row>
    <row r="180" spans="1:28" s="227" customFormat="1" ht="81">
      <c r="A180" s="301" t="s">
        <v>673</v>
      </c>
      <c r="B180" s="293" t="s">
        <v>1119</v>
      </c>
      <c r="C180" s="294" t="s">
        <v>2483</v>
      </c>
      <c r="D180" s="295" t="s">
        <v>2483</v>
      </c>
      <c r="E180" s="293" t="s">
        <v>1090</v>
      </c>
      <c r="F180" s="293" t="s">
        <v>673</v>
      </c>
      <c r="G180" s="293" t="s">
        <v>13217</v>
      </c>
      <c r="H180" s="296" t="s">
        <v>15855</v>
      </c>
      <c r="I180" s="297" t="s">
        <v>1581</v>
      </c>
      <c r="J180" s="297" t="s">
        <v>15779</v>
      </c>
      <c r="K180" s="298" t="s">
        <v>16011</v>
      </c>
      <c r="L180" s="298" t="s">
        <v>16012</v>
      </c>
      <c r="M180" s="298" t="s">
        <v>16013</v>
      </c>
      <c r="N180" s="298" t="s">
        <v>16014</v>
      </c>
      <c r="O180" s="298" t="s">
        <v>16015</v>
      </c>
      <c r="P180" s="299" t="s">
        <v>15857</v>
      </c>
      <c r="Q180" s="300" t="s">
        <v>15855</v>
      </c>
      <c r="R180" s="182" t="str">
        <f ca="1">IF(ISERROR($V180),"",OFFSET('Smelter Look-up'!$C$4,$V180-4,0)&amp;"")</f>
        <v>Heraeus Metals Hong Kong Ltd.</v>
      </c>
      <c r="S180" s="181" t="str">
        <f t="shared" ca="1" si="23"/>
        <v>CN</v>
      </c>
      <c r="T180" s="181" t="str">
        <f ca="1">IF(B180="","",IF(ISERROR(MATCH($J180,SorP!$B$1:$B$6226,0)),"",INDIRECT("'SorP'!$A$"&amp;MATCH($S180&amp;$J180,SorP!C:C,0))))</f>
        <v>CN-HK</v>
      </c>
      <c r="U180" s="201"/>
      <c r="V180" s="226">
        <f>IF(C180="",NA(),IF(OR(C180="Smelter not listed",C180="Smelter not yet identified"),MATCH($B180&amp;$D180,'Smelter Look-up'!$J:$J,0),MATCH($B180&amp;$C180,'Smelter Look-up'!$J:$J,0)))</f>
        <v>111</v>
      </c>
      <c r="X180" s="227">
        <f t="shared" si="24"/>
        <v>0</v>
      </c>
      <c r="AB180" s="228" t="str">
        <f t="shared" si="25"/>
        <v>GoldHeraeus Metals Hong Kong Ltd.</v>
      </c>
    </row>
    <row r="181" spans="1:28" s="227" customFormat="1" ht="81">
      <c r="A181" s="301" t="s">
        <v>673</v>
      </c>
      <c r="B181" s="293" t="s">
        <v>1119</v>
      </c>
      <c r="C181" s="294" t="s">
        <v>2483</v>
      </c>
      <c r="D181" s="295" t="s">
        <v>2483</v>
      </c>
      <c r="E181" s="293" t="s">
        <v>1090</v>
      </c>
      <c r="F181" s="293" t="s">
        <v>673</v>
      </c>
      <c r="G181" s="293" t="s">
        <v>13217</v>
      </c>
      <c r="H181" s="296" t="s">
        <v>15855</v>
      </c>
      <c r="I181" s="297" t="s">
        <v>1581</v>
      </c>
      <c r="J181" s="297" t="s">
        <v>16016</v>
      </c>
      <c r="K181" s="298" t="s">
        <v>15855</v>
      </c>
      <c r="L181" s="298" t="s">
        <v>15855</v>
      </c>
      <c r="M181" s="298" t="s">
        <v>15855</v>
      </c>
      <c r="N181" s="298" t="s">
        <v>15855</v>
      </c>
      <c r="O181" s="298" t="s">
        <v>15855</v>
      </c>
      <c r="P181" s="299" t="s">
        <v>15857</v>
      </c>
      <c r="Q181" s="300" t="s">
        <v>15855</v>
      </c>
      <c r="R181" s="182" t="str">
        <f ca="1">IF(ISERROR($V181),"",OFFSET('Smelter Look-up'!$C$4,$V181-4,0)&amp;"")</f>
        <v>Heraeus Metals Hong Kong Ltd.</v>
      </c>
      <c r="S181" s="181" t="str">
        <f t="shared" ca="1" si="23"/>
        <v>CN</v>
      </c>
      <c r="T181" s="181" t="str">
        <f ca="1">IF(B181="","",IF(ISERROR(MATCH($J181,SorP!$B$1:$B$6226,0)),"",INDIRECT("'SorP'!$A$"&amp;MATCH($S181&amp;$J181,SorP!C:C,0))))</f>
        <v/>
      </c>
      <c r="U181" s="201"/>
      <c r="V181" s="226">
        <f>IF(C181="",NA(),IF(OR(C181="Smelter not listed",C181="Smelter not yet identified"),MATCH($B181&amp;$D181,'Smelter Look-up'!$J:$J,0),MATCH($B181&amp;$C181,'Smelter Look-up'!$J:$J,0)))</f>
        <v>111</v>
      </c>
      <c r="X181" s="227">
        <f t="shared" si="24"/>
        <v>0</v>
      </c>
      <c r="AB181" s="228" t="str">
        <f t="shared" si="25"/>
        <v>GoldHeraeus Metals Hong Kong Ltd.</v>
      </c>
    </row>
    <row r="182" spans="1:28" s="227" customFormat="1" ht="81">
      <c r="A182" s="301" t="s">
        <v>673</v>
      </c>
      <c r="B182" s="293" t="s">
        <v>1119</v>
      </c>
      <c r="C182" s="294" t="s">
        <v>2483</v>
      </c>
      <c r="D182" s="295" t="s">
        <v>2483</v>
      </c>
      <c r="E182" s="293" t="s">
        <v>1090</v>
      </c>
      <c r="F182" s="293" t="s">
        <v>673</v>
      </c>
      <c r="G182" s="293" t="s">
        <v>13217</v>
      </c>
      <c r="H182" s="302" t="s">
        <v>15880</v>
      </c>
      <c r="I182" s="297" t="s">
        <v>1581</v>
      </c>
      <c r="J182" s="297" t="s">
        <v>16000</v>
      </c>
      <c r="K182" s="298" t="s">
        <v>15855</v>
      </c>
      <c r="L182" s="298" t="s">
        <v>15855</v>
      </c>
      <c r="M182" s="298" t="s">
        <v>15855</v>
      </c>
      <c r="N182" s="298" t="s">
        <v>15855</v>
      </c>
      <c r="O182" s="298" t="s">
        <v>15855</v>
      </c>
      <c r="P182" s="299" t="s">
        <v>15857</v>
      </c>
      <c r="Q182" s="300" t="s">
        <v>15855</v>
      </c>
      <c r="R182" s="182" t="str">
        <f ca="1">IF(ISERROR($V182),"",OFFSET('Smelter Look-up'!$C$4,$V182-4,0)&amp;"")</f>
        <v>Heraeus Metals Hong Kong Ltd.</v>
      </c>
      <c r="S182" s="181" t="str">
        <f t="shared" ca="1" si="23"/>
        <v>CN</v>
      </c>
      <c r="T182" s="181" t="str">
        <f ca="1">IF(B182="","",IF(ISERROR(MATCH($J182,SorP!$B$1:$B$6226,0)),"",INDIRECT("'SorP'!$A$"&amp;MATCH($S182&amp;$J182,SorP!C:C,0))))</f>
        <v/>
      </c>
      <c r="U182" s="201"/>
      <c r="V182" s="226">
        <f>IF(C182="",NA(),IF(OR(C182="Smelter not listed",C182="Smelter not yet identified"),MATCH($B182&amp;$D182,'Smelter Look-up'!$J:$J,0),MATCH($B182&amp;$C182,'Smelter Look-up'!$J:$J,0)))</f>
        <v>111</v>
      </c>
      <c r="X182" s="227">
        <f t="shared" si="24"/>
        <v>0</v>
      </c>
      <c r="AB182" s="228" t="str">
        <f t="shared" si="25"/>
        <v>GoldHeraeus Metals Hong Kong Ltd.</v>
      </c>
    </row>
    <row r="183" spans="1:28" s="227" customFormat="1" ht="81">
      <c r="A183" s="301" t="s">
        <v>673</v>
      </c>
      <c r="B183" s="293" t="s">
        <v>1119</v>
      </c>
      <c r="C183" s="294" t="s">
        <v>2483</v>
      </c>
      <c r="D183" s="295" t="s">
        <v>2483</v>
      </c>
      <c r="E183" s="293" t="s">
        <v>1090</v>
      </c>
      <c r="F183" s="293" t="s">
        <v>673</v>
      </c>
      <c r="G183" s="293" t="s">
        <v>13217</v>
      </c>
      <c r="H183" s="302" t="s">
        <v>15880</v>
      </c>
      <c r="I183" s="297" t="s">
        <v>1581</v>
      </c>
      <c r="J183" s="297" t="s">
        <v>15779</v>
      </c>
      <c r="K183" s="298" t="s">
        <v>15855</v>
      </c>
      <c r="L183" s="298" t="s">
        <v>15855</v>
      </c>
      <c r="M183" s="298" t="s">
        <v>15855</v>
      </c>
      <c r="N183" s="298" t="s">
        <v>15855</v>
      </c>
      <c r="O183" s="298" t="s">
        <v>15855</v>
      </c>
      <c r="P183" s="299" t="s">
        <v>15857</v>
      </c>
      <c r="Q183" s="300" t="s">
        <v>15855</v>
      </c>
      <c r="R183" s="182" t="str">
        <f ca="1">IF(ISERROR($V183),"",OFFSET('Smelter Look-up'!$C$4,$V183-4,0)&amp;"")</f>
        <v>Heraeus Metals Hong Kong Ltd.</v>
      </c>
      <c r="S183" s="181" t="str">
        <f t="shared" ca="1" si="23"/>
        <v>CN</v>
      </c>
      <c r="T183" s="181" t="str">
        <f ca="1">IF(B183="","",IF(ISERROR(MATCH($J183,SorP!$B$1:$B$6226,0)),"",INDIRECT("'SorP'!$A$"&amp;MATCH($S183&amp;$J183,SorP!C:C,0))))</f>
        <v>CN-HK</v>
      </c>
      <c r="U183" s="201"/>
      <c r="V183" s="226">
        <f>IF(C183="",NA(),IF(OR(C183="Smelter not listed",C183="Smelter not yet identified"),MATCH($B183&amp;$D183,'Smelter Look-up'!$J:$J,0),MATCH($B183&amp;$C183,'Smelter Look-up'!$J:$J,0)))</f>
        <v>111</v>
      </c>
      <c r="X183" s="227">
        <f t="shared" si="24"/>
        <v>0</v>
      </c>
      <c r="AB183" s="228" t="str">
        <f t="shared" si="25"/>
        <v>GoldHeraeus Metals Hong Kong Ltd.</v>
      </c>
    </row>
    <row r="184" spans="1:28" s="227" customFormat="1" ht="81">
      <c r="A184" s="301" t="s">
        <v>673</v>
      </c>
      <c r="B184" s="293" t="s">
        <v>1119</v>
      </c>
      <c r="C184" s="294" t="s">
        <v>2483</v>
      </c>
      <c r="D184" s="295" t="s">
        <v>2483</v>
      </c>
      <c r="E184" s="293" t="s">
        <v>1090</v>
      </c>
      <c r="F184" s="293" t="s">
        <v>673</v>
      </c>
      <c r="G184" s="293" t="s">
        <v>13217</v>
      </c>
      <c r="H184" s="302" t="s">
        <v>15880</v>
      </c>
      <c r="I184" s="297" t="s">
        <v>1581</v>
      </c>
      <c r="J184" s="297" t="s">
        <v>15779</v>
      </c>
      <c r="K184" s="298" t="s">
        <v>16004</v>
      </c>
      <c r="L184" s="298" t="s">
        <v>16001</v>
      </c>
      <c r="M184" s="298" t="s">
        <v>15855</v>
      </c>
      <c r="N184" s="298" t="s">
        <v>16017</v>
      </c>
      <c r="O184" s="298" t="s">
        <v>16017</v>
      </c>
      <c r="P184" s="299" t="s">
        <v>15857</v>
      </c>
      <c r="Q184" s="300" t="s">
        <v>16018</v>
      </c>
      <c r="R184" s="182" t="str">
        <f ca="1">IF(ISERROR($V184),"",OFFSET('Smelter Look-up'!$C$4,$V184-4,0)&amp;"")</f>
        <v>Heraeus Metals Hong Kong Ltd.</v>
      </c>
      <c r="S184" s="181" t="str">
        <f t="shared" ca="1" si="23"/>
        <v>CN</v>
      </c>
      <c r="T184" s="181" t="str">
        <f ca="1">IF(B184="","",IF(ISERROR(MATCH($J184,SorP!$B$1:$B$6226,0)),"",INDIRECT("'SorP'!$A$"&amp;MATCH($S184&amp;$J184,SorP!C:C,0))))</f>
        <v>CN-HK</v>
      </c>
      <c r="U184" s="201"/>
      <c r="V184" s="226">
        <f>IF(C184="",NA(),IF(OR(C184="Smelter not listed",C184="Smelter not yet identified"),MATCH($B184&amp;$D184,'Smelter Look-up'!$J:$J,0),MATCH($B184&amp;$C184,'Smelter Look-up'!$J:$J,0)))</f>
        <v>111</v>
      </c>
      <c r="X184" s="227">
        <f t="shared" si="24"/>
        <v>0</v>
      </c>
      <c r="AB184" s="228" t="str">
        <f t="shared" si="25"/>
        <v>GoldHeraeus Metals Hong Kong Ltd.</v>
      </c>
    </row>
    <row r="185" spans="1:28" s="227" customFormat="1" ht="81">
      <c r="A185" s="301" t="s">
        <v>673</v>
      </c>
      <c r="B185" s="293" t="s">
        <v>1119</v>
      </c>
      <c r="C185" s="294" t="s">
        <v>2483</v>
      </c>
      <c r="D185" s="295" t="s">
        <v>2483</v>
      </c>
      <c r="E185" s="293" t="s">
        <v>1090</v>
      </c>
      <c r="F185" s="293" t="s">
        <v>673</v>
      </c>
      <c r="G185" s="293" t="s">
        <v>13217</v>
      </c>
      <c r="H185" s="296" t="s">
        <v>16003</v>
      </c>
      <c r="I185" s="297" t="s">
        <v>1581</v>
      </c>
      <c r="J185" s="297" t="s">
        <v>15779</v>
      </c>
      <c r="K185" s="298" t="s">
        <v>16004</v>
      </c>
      <c r="L185" s="298" t="s">
        <v>16019</v>
      </c>
      <c r="M185" s="298" t="s">
        <v>15855</v>
      </c>
      <c r="N185" s="298" t="s">
        <v>16005</v>
      </c>
      <c r="O185" s="298" t="s">
        <v>16020</v>
      </c>
      <c r="P185" s="299" t="s">
        <v>15857</v>
      </c>
      <c r="Q185" s="300" t="s">
        <v>15855</v>
      </c>
      <c r="R185" s="182" t="str">
        <f ca="1">IF(ISERROR($V185),"",OFFSET('Smelter Look-up'!$C$4,$V185-4,0)&amp;"")</f>
        <v>Heraeus Metals Hong Kong Ltd.</v>
      </c>
      <c r="S185" s="181" t="str">
        <f t="shared" ca="1" si="23"/>
        <v>CN</v>
      </c>
      <c r="T185" s="181" t="str">
        <f ca="1">IF(B185="","",IF(ISERROR(MATCH($J185,SorP!$B$1:$B$6226,0)),"",INDIRECT("'SorP'!$A$"&amp;MATCH($S185&amp;$J185,SorP!C:C,0))))</f>
        <v>CN-HK</v>
      </c>
      <c r="U185" s="201"/>
      <c r="V185" s="226">
        <f>IF(C185="",NA(),IF(OR(C185="Smelter not listed",C185="Smelter not yet identified"),MATCH($B185&amp;$D185,'Smelter Look-up'!$J:$J,0),MATCH($B185&amp;$C185,'Smelter Look-up'!$J:$J,0)))</f>
        <v>111</v>
      </c>
      <c r="X185" s="227">
        <f t="shared" si="24"/>
        <v>0</v>
      </c>
      <c r="AB185" s="228" t="str">
        <f t="shared" si="25"/>
        <v>GoldHeraeus Metals Hong Kong Ltd.</v>
      </c>
    </row>
    <row r="186" spans="1:28" s="227" customFormat="1" ht="81">
      <c r="A186" s="301" t="s">
        <v>673</v>
      </c>
      <c r="B186" s="293" t="s">
        <v>1119</v>
      </c>
      <c r="C186" s="294" t="s">
        <v>2483</v>
      </c>
      <c r="D186" s="295" t="s">
        <v>2483</v>
      </c>
      <c r="E186" s="293" t="s">
        <v>1090</v>
      </c>
      <c r="F186" s="293" t="s">
        <v>673</v>
      </c>
      <c r="G186" s="293" t="s">
        <v>13217</v>
      </c>
      <c r="H186" s="296" t="s">
        <v>16003</v>
      </c>
      <c r="I186" s="297" t="s">
        <v>1581</v>
      </c>
      <c r="J186" s="297" t="s">
        <v>15779</v>
      </c>
      <c r="K186" s="298" t="s">
        <v>16004</v>
      </c>
      <c r="L186" s="298" t="s">
        <v>16001</v>
      </c>
      <c r="M186" s="298" t="s">
        <v>15855</v>
      </c>
      <c r="N186" s="298" t="s">
        <v>16005</v>
      </c>
      <c r="O186" s="298" t="s">
        <v>1090</v>
      </c>
      <c r="P186" s="299" t="s">
        <v>15857</v>
      </c>
      <c r="Q186" s="300" t="s">
        <v>16006</v>
      </c>
      <c r="R186" s="182" t="str">
        <f ca="1">IF(ISERROR($V186),"",OFFSET('Smelter Look-up'!$C$4,$V186-4,0)&amp;"")</f>
        <v>Heraeus Metals Hong Kong Ltd.</v>
      </c>
      <c r="S186" s="181" t="str">
        <f t="shared" ca="1" si="23"/>
        <v>CN</v>
      </c>
      <c r="T186" s="181" t="str">
        <f ca="1">IF(B186="","",IF(ISERROR(MATCH($J186,SorP!$B$1:$B$6226,0)),"",INDIRECT("'SorP'!$A$"&amp;MATCH($S186&amp;$J186,SorP!C:C,0))))</f>
        <v>CN-HK</v>
      </c>
      <c r="U186" s="201"/>
      <c r="V186" s="226">
        <f>IF(C186="",NA(),IF(OR(C186="Smelter not listed",C186="Smelter not yet identified"),MATCH($B186&amp;$D186,'Smelter Look-up'!$J:$J,0),MATCH($B186&amp;$C186,'Smelter Look-up'!$J:$J,0)))</f>
        <v>111</v>
      </c>
      <c r="X186" s="227">
        <f t="shared" si="24"/>
        <v>0</v>
      </c>
      <c r="AB186" s="228" t="str">
        <f t="shared" si="25"/>
        <v>GoldHeraeus Metals Hong Kong Ltd.</v>
      </c>
    </row>
    <row r="187" spans="1:28" s="227" customFormat="1" ht="81">
      <c r="A187" s="301" t="s">
        <v>674</v>
      </c>
      <c r="B187" s="293" t="s">
        <v>1119</v>
      </c>
      <c r="C187" s="294" t="s">
        <v>1215</v>
      </c>
      <c r="D187" s="295" t="s">
        <v>1215</v>
      </c>
      <c r="E187" s="293" t="s">
        <v>1091</v>
      </c>
      <c r="F187" s="293" t="s">
        <v>674</v>
      </c>
      <c r="G187" s="293" t="s">
        <v>15865</v>
      </c>
      <c r="H187" s="296" t="s">
        <v>15855</v>
      </c>
      <c r="I187" s="297" t="s">
        <v>1582</v>
      </c>
      <c r="J187" s="297" t="s">
        <v>16021</v>
      </c>
      <c r="K187" s="298" t="s">
        <v>15855</v>
      </c>
      <c r="L187" s="298" t="s">
        <v>15855</v>
      </c>
      <c r="M187" s="298" t="s">
        <v>15855</v>
      </c>
      <c r="N187" s="298" t="s">
        <v>15855</v>
      </c>
      <c r="O187" s="298" t="s">
        <v>15855</v>
      </c>
      <c r="P187" s="299" t="s">
        <v>15857</v>
      </c>
      <c r="Q187" s="300" t="s">
        <v>15855</v>
      </c>
      <c r="R187" s="182" t="str">
        <f ca="1">IF(ISERROR($V187),"",OFFSET('Smelter Look-up'!$C$4,$V187-4,0)&amp;"")</f>
        <v>Heraeus Germany GmbH Co. KG</v>
      </c>
      <c r="S187" s="181" t="str">
        <f t="shared" ca="1" si="23"/>
        <v>DE</v>
      </c>
      <c r="T187" s="181" t="str">
        <f ca="1">IF(B187="","",IF(ISERROR(MATCH($J187,SorP!$B$1:$B$6226,0)),"",INDIRECT("'SorP'!$A$"&amp;MATCH($S187&amp;$J187,SorP!C:C,0))))</f>
        <v/>
      </c>
      <c r="U187" s="201"/>
      <c r="V187" s="226">
        <f>IF(C187="",NA(),IF(OR(C187="Smelter not listed",C187="Smelter not yet identified"),MATCH($B187&amp;$D187,'Smelter Look-up'!$J:$J,0),MATCH($B187&amp;$C187,'Smelter Look-up'!$J:$J,0)))</f>
        <v>112</v>
      </c>
      <c r="X187" s="227">
        <f t="shared" si="24"/>
        <v>0</v>
      </c>
      <c r="AB187" s="228" t="str">
        <f t="shared" si="25"/>
        <v>GoldHeraeus Precious Metals GmbH &amp; Co. KG</v>
      </c>
    </row>
    <row r="188" spans="1:28" s="227" customFormat="1" ht="81">
      <c r="A188" s="301" t="s">
        <v>674</v>
      </c>
      <c r="B188" s="293" t="s">
        <v>1119</v>
      </c>
      <c r="C188" s="294" t="s">
        <v>1215</v>
      </c>
      <c r="D188" s="295" t="s">
        <v>1215</v>
      </c>
      <c r="E188" s="293" t="s">
        <v>1091</v>
      </c>
      <c r="F188" s="293" t="s">
        <v>674</v>
      </c>
      <c r="G188" s="293" t="s">
        <v>13217</v>
      </c>
      <c r="H188" s="296" t="s">
        <v>15855</v>
      </c>
      <c r="I188" s="297" t="s">
        <v>1582</v>
      </c>
      <c r="J188" s="297" t="s">
        <v>4226</v>
      </c>
      <c r="K188" s="298" t="s">
        <v>15855</v>
      </c>
      <c r="L188" s="298" t="s">
        <v>15855</v>
      </c>
      <c r="M188" s="298" t="s">
        <v>15855</v>
      </c>
      <c r="N188" s="298" t="s">
        <v>15855</v>
      </c>
      <c r="O188" s="298" t="s">
        <v>15855</v>
      </c>
      <c r="P188" s="299" t="s">
        <v>15857</v>
      </c>
      <c r="Q188" s="300" t="s">
        <v>15855</v>
      </c>
      <c r="R188" s="182" t="str">
        <f ca="1">IF(ISERROR($V188),"",OFFSET('Smelter Look-up'!$C$4,$V188-4,0)&amp;"")</f>
        <v>Heraeus Germany GmbH Co. KG</v>
      </c>
      <c r="S188" s="181" t="str">
        <f t="shared" ca="1" si="23"/>
        <v>DE</v>
      </c>
      <c r="T188" s="181" t="str">
        <f ca="1">IF(B188="","",IF(ISERROR(MATCH($J188,SorP!$B$1:$B$6226,0)),"",INDIRECT("'SorP'!$A$"&amp;MATCH($S188&amp;$J188,SorP!C:C,0))))</f>
        <v>DE-HE</v>
      </c>
      <c r="U188" s="201"/>
      <c r="V188" s="226">
        <f>IF(C188="",NA(),IF(OR(C188="Smelter not listed",C188="Smelter not yet identified"),MATCH($B188&amp;$D188,'Smelter Look-up'!$J:$J,0),MATCH($B188&amp;$C188,'Smelter Look-up'!$J:$J,0)))</f>
        <v>112</v>
      </c>
      <c r="X188" s="227">
        <f t="shared" si="24"/>
        <v>0</v>
      </c>
      <c r="AB188" s="228" t="str">
        <f t="shared" si="25"/>
        <v>GoldHeraeus Precious Metals GmbH &amp; Co. KG</v>
      </c>
    </row>
    <row r="189" spans="1:28" s="227" customFormat="1" ht="81">
      <c r="A189" s="301" t="s">
        <v>674</v>
      </c>
      <c r="B189" s="293" t="s">
        <v>1119</v>
      </c>
      <c r="C189" s="294" t="s">
        <v>1215</v>
      </c>
      <c r="D189" s="295" t="s">
        <v>1215</v>
      </c>
      <c r="E189" s="293" t="s">
        <v>1091</v>
      </c>
      <c r="F189" s="293" t="s">
        <v>674</v>
      </c>
      <c r="G189" s="293" t="s">
        <v>13217</v>
      </c>
      <c r="H189" s="302" t="s">
        <v>15880</v>
      </c>
      <c r="I189" s="297" t="s">
        <v>1582</v>
      </c>
      <c r="J189" s="297" t="s">
        <v>4226</v>
      </c>
      <c r="K189" s="298" t="s">
        <v>15855</v>
      </c>
      <c r="L189" s="298" t="s">
        <v>15855</v>
      </c>
      <c r="M189" s="298" t="s">
        <v>15855</v>
      </c>
      <c r="N189" s="298" t="s">
        <v>15855</v>
      </c>
      <c r="O189" s="298" t="s">
        <v>15855</v>
      </c>
      <c r="P189" s="299" t="s">
        <v>15857</v>
      </c>
      <c r="Q189" s="300" t="s">
        <v>15855</v>
      </c>
      <c r="R189" s="182" t="str">
        <f ca="1">IF(ISERROR($V189),"",OFFSET('Smelter Look-up'!$C$4,$V189-4,0)&amp;"")</f>
        <v>Heraeus Germany GmbH Co. KG</v>
      </c>
      <c r="S189" s="181" t="str">
        <f t="shared" ca="1" si="23"/>
        <v>DE</v>
      </c>
      <c r="T189" s="181" t="str">
        <f ca="1">IF(B189="","",IF(ISERROR(MATCH($J189,SorP!$B$1:$B$6226,0)),"",INDIRECT("'SorP'!$A$"&amp;MATCH($S189&amp;$J189,SorP!C:C,0))))</f>
        <v>DE-HE</v>
      </c>
      <c r="U189" s="201"/>
      <c r="V189" s="226">
        <f>IF(C189="",NA(),IF(OR(C189="Smelter not listed",C189="Smelter not yet identified"),MATCH($B189&amp;$D189,'Smelter Look-up'!$J:$J,0),MATCH($B189&amp;$C189,'Smelter Look-up'!$J:$J,0)))</f>
        <v>112</v>
      </c>
      <c r="X189" s="227">
        <f t="shared" si="24"/>
        <v>0</v>
      </c>
      <c r="AB189" s="228" t="str">
        <f t="shared" si="25"/>
        <v>GoldHeraeus Precious Metals GmbH &amp; Co. KG</v>
      </c>
    </row>
    <row r="190" spans="1:28" s="227" customFormat="1" ht="81">
      <c r="A190" s="301" t="s">
        <v>674</v>
      </c>
      <c r="B190" s="293" t="s">
        <v>1119</v>
      </c>
      <c r="C190" s="294" t="s">
        <v>1215</v>
      </c>
      <c r="D190" s="295" t="s">
        <v>1215</v>
      </c>
      <c r="E190" s="293" t="s">
        <v>1091</v>
      </c>
      <c r="F190" s="293" t="s">
        <v>674</v>
      </c>
      <c r="G190" s="293" t="s">
        <v>13217</v>
      </c>
      <c r="H190" s="296" t="s">
        <v>16022</v>
      </c>
      <c r="I190" s="297" t="s">
        <v>1582</v>
      </c>
      <c r="J190" s="297" t="s">
        <v>4226</v>
      </c>
      <c r="K190" s="298" t="s">
        <v>15904</v>
      </c>
      <c r="L190" s="298" t="s">
        <v>16023</v>
      </c>
      <c r="M190" s="298" t="s">
        <v>15906</v>
      </c>
      <c r="N190" s="298" t="s">
        <v>16024</v>
      </c>
      <c r="O190" s="298" t="s">
        <v>16024</v>
      </c>
      <c r="P190" s="299" t="s">
        <v>15857</v>
      </c>
      <c r="Q190" s="300" t="s">
        <v>15855</v>
      </c>
      <c r="R190" s="182" t="str">
        <f ca="1">IF(ISERROR($V190),"",OFFSET('Smelter Look-up'!$C$4,$V190-4,0)&amp;"")</f>
        <v>Heraeus Germany GmbH Co. KG</v>
      </c>
      <c r="S190" s="181" t="str">
        <f t="shared" ca="1" si="23"/>
        <v>DE</v>
      </c>
      <c r="T190" s="181" t="str">
        <f ca="1">IF(B190="","",IF(ISERROR(MATCH($J190,SorP!$B$1:$B$6226,0)),"",INDIRECT("'SorP'!$A$"&amp;MATCH($S190&amp;$J190,SorP!C:C,0))))</f>
        <v>DE-HE</v>
      </c>
      <c r="U190" s="201"/>
      <c r="V190" s="226">
        <f>IF(C190="",NA(),IF(OR(C190="Smelter not listed",C190="Smelter not yet identified"),MATCH($B190&amp;$D190,'Smelter Look-up'!$J:$J,0),MATCH($B190&amp;$C190,'Smelter Look-up'!$J:$J,0)))</f>
        <v>112</v>
      </c>
      <c r="X190" s="227">
        <f t="shared" si="24"/>
        <v>0</v>
      </c>
      <c r="AB190" s="228" t="str">
        <f t="shared" si="25"/>
        <v>GoldHeraeus Precious Metals GmbH &amp; Co. KG</v>
      </c>
    </row>
    <row r="191" spans="1:28" s="227" customFormat="1" ht="67.5">
      <c r="A191" s="301" t="s">
        <v>675</v>
      </c>
      <c r="B191" s="293" t="s">
        <v>1119</v>
      </c>
      <c r="C191" s="294" t="s">
        <v>2197</v>
      </c>
      <c r="D191" s="295" t="s">
        <v>2197</v>
      </c>
      <c r="E191" s="293" t="s">
        <v>1090</v>
      </c>
      <c r="F191" s="293" t="s">
        <v>675</v>
      </c>
      <c r="G191" s="293" t="s">
        <v>13217</v>
      </c>
      <c r="H191" s="296" t="s">
        <v>15855</v>
      </c>
      <c r="I191" s="297" t="s">
        <v>2118</v>
      </c>
      <c r="J191" s="297" t="s">
        <v>13600</v>
      </c>
      <c r="K191" s="298" t="s">
        <v>15855</v>
      </c>
      <c r="L191" s="298" t="s">
        <v>15855</v>
      </c>
      <c r="M191" s="298" t="s">
        <v>15855</v>
      </c>
      <c r="N191" s="298" t="s">
        <v>15855</v>
      </c>
      <c r="O191" s="298" t="s">
        <v>15858</v>
      </c>
      <c r="P191" s="299" t="s">
        <v>15857</v>
      </c>
      <c r="Q191" s="300" t="s">
        <v>15855</v>
      </c>
      <c r="R191" s="182" t="str">
        <f ca="1">IF(ISERROR($V191),"",OFFSET('Smelter Look-up'!$C$4,$V191-4,0)&amp;"")</f>
        <v>Hunan Chenzhou Mining Co., Ltd.</v>
      </c>
      <c r="S191" s="181" t="str">
        <f t="shared" ca="1" si="23"/>
        <v>CN</v>
      </c>
      <c r="T191" s="181" t="str">
        <f ca="1">IF(B191="","",IF(ISERROR(MATCH($J191,SorP!$B$1:$B$6226,0)),"",INDIRECT("'SorP'!$A$"&amp;MATCH($S191&amp;$J191,SorP!C:C,0))))</f>
        <v>CN-HN</v>
      </c>
      <c r="U191" s="201"/>
      <c r="V191" s="226">
        <f>IF(C191="",NA(),IF(OR(C191="Smelter not listed",C191="Smelter not yet identified"),MATCH($B191&amp;$D191,'Smelter Look-up'!$J:$J,0),MATCH($B191&amp;$C191,'Smelter Look-up'!$J:$J,0)))</f>
        <v>113</v>
      </c>
      <c r="X191" s="227">
        <f t="shared" si="24"/>
        <v>0</v>
      </c>
      <c r="AB191" s="228" t="str">
        <f t="shared" si="25"/>
        <v>GoldHunan Chenzhou Mining Co., Ltd.</v>
      </c>
    </row>
    <row r="192" spans="1:28" s="227" customFormat="1" ht="108">
      <c r="A192" s="301" t="s">
        <v>13153</v>
      </c>
      <c r="B192" s="293" t="s">
        <v>1119</v>
      </c>
      <c r="C192" s="294" t="s">
        <v>13152</v>
      </c>
      <c r="D192" s="295" t="s">
        <v>13152</v>
      </c>
      <c r="E192" s="293" t="s">
        <v>1090</v>
      </c>
      <c r="F192" s="293" t="s">
        <v>13153</v>
      </c>
      <c r="G192" s="293" t="s">
        <v>13217</v>
      </c>
      <c r="H192" s="296" t="s">
        <v>15855</v>
      </c>
      <c r="I192" s="297" t="s">
        <v>1760</v>
      </c>
      <c r="J192" s="297" t="s">
        <v>13600</v>
      </c>
      <c r="K192" s="298" t="s">
        <v>15855</v>
      </c>
      <c r="L192" s="298" t="s">
        <v>15855</v>
      </c>
      <c r="M192" s="298" t="s">
        <v>15855</v>
      </c>
      <c r="N192" s="298" t="s">
        <v>15855</v>
      </c>
      <c r="O192" s="298" t="s">
        <v>15858</v>
      </c>
      <c r="P192" s="299" t="s">
        <v>15857</v>
      </c>
      <c r="Q192" s="300" t="s">
        <v>15855</v>
      </c>
      <c r="R192" s="182" t="str">
        <f ca="1">IF(ISERROR($V192),"",OFFSET('Smelter Look-up'!$C$4,$V192-4,0)&amp;"")</f>
        <v>Hunan Guiyang yinxing Nonferrous Smelting Co., Ltd.</v>
      </c>
      <c r="S192" s="181" t="str">
        <f t="shared" ca="1" si="23"/>
        <v>CN</v>
      </c>
      <c r="T192" s="181" t="str">
        <f ca="1">IF(B192="","",IF(ISERROR(MATCH($J192,SorP!$B$1:$B$6226,0)),"",INDIRECT("'SorP'!$A$"&amp;MATCH($S192&amp;$J192,SorP!C:C,0))))</f>
        <v>CN-HN</v>
      </c>
      <c r="U192" s="201"/>
      <c r="V192" s="226">
        <f>IF(C192="",NA(),IF(OR(C192="Smelter not listed",C192="Smelter not yet identified"),MATCH($B192&amp;$D192,'Smelter Look-up'!$J:$J,0),MATCH($B192&amp;$C192,'Smelter Look-up'!$J:$J,0)))</f>
        <v>116</v>
      </c>
      <c r="X192" s="227">
        <f t="shared" si="24"/>
        <v>0</v>
      </c>
      <c r="AB192" s="228" t="str">
        <f t="shared" si="25"/>
        <v>GoldHunan Guiyang yinxing Nonferrous Smelting Co., Ltd.</v>
      </c>
    </row>
    <row r="193" spans="1:28" s="227" customFormat="1" ht="54">
      <c r="A193" s="301" t="s">
        <v>676</v>
      </c>
      <c r="B193" s="293" t="s">
        <v>1119</v>
      </c>
      <c r="C193" s="294" t="s">
        <v>2484</v>
      </c>
      <c r="D193" s="295" t="s">
        <v>2484</v>
      </c>
      <c r="E193" s="293" t="s">
        <v>1101</v>
      </c>
      <c r="F193" s="293" t="s">
        <v>676</v>
      </c>
      <c r="G193" s="293" t="s">
        <v>13217</v>
      </c>
      <c r="H193" s="296" t="s">
        <v>15855</v>
      </c>
      <c r="I193" s="297" t="s">
        <v>1584</v>
      </c>
      <c r="J193" s="297" t="s">
        <v>12849</v>
      </c>
      <c r="K193" s="298" t="s">
        <v>15855</v>
      </c>
      <c r="L193" s="298" t="s">
        <v>15855</v>
      </c>
      <c r="M193" s="298" t="s">
        <v>15855</v>
      </c>
      <c r="N193" s="298" t="s">
        <v>15855</v>
      </c>
      <c r="O193" s="298" t="s">
        <v>15858</v>
      </c>
      <c r="P193" s="299" t="s">
        <v>15857</v>
      </c>
      <c r="Q193" s="300" t="s">
        <v>15855</v>
      </c>
      <c r="R193" s="182" t="str">
        <f ca="1">IF(ISERROR($V193),"",OFFSET('Smelter Look-up'!$C$4,$V193-4,0)&amp;"")</f>
        <v>HwaSeong CJ CO., LTD.</v>
      </c>
      <c r="S193" s="181" t="str">
        <f t="shared" ca="1" si="23"/>
        <v>KR</v>
      </c>
      <c r="T193" s="181" t="str">
        <f ca="1">IF(B193="","",IF(ISERROR(MATCH($J193,SorP!$B$1:$B$6226,0)),"",INDIRECT("'SorP'!$A$"&amp;MATCH($S193&amp;$J193,SorP!C:C,0))))</f>
        <v>KR-41</v>
      </c>
      <c r="U193" s="201"/>
      <c r="V193" s="226">
        <f>IF(C193="",NA(),IF(OR(C193="Smelter not listed",C193="Smelter not yet identified"),MATCH($B193&amp;$D193,'Smelter Look-up'!$J:$J,0),MATCH($B193&amp;$C193,'Smelter Look-up'!$J:$J,0)))</f>
        <v>118</v>
      </c>
      <c r="X193" s="227">
        <f t="shared" si="24"/>
        <v>0</v>
      </c>
      <c r="AB193" s="228" t="str">
        <f t="shared" si="25"/>
        <v>GoldHwaSeong CJ CO., LTD.</v>
      </c>
    </row>
    <row r="194" spans="1:28" s="227" customFormat="1" ht="67.5">
      <c r="A194" s="301" t="s">
        <v>2245</v>
      </c>
      <c r="B194" s="293" t="s">
        <v>1119</v>
      </c>
      <c r="C194" s="294" t="s">
        <v>15031</v>
      </c>
      <c r="D194" s="295" t="s">
        <v>15031</v>
      </c>
      <c r="E194" s="293" t="s">
        <v>1085</v>
      </c>
      <c r="F194" s="293" t="s">
        <v>2245</v>
      </c>
      <c r="G194" s="293" t="s">
        <v>13217</v>
      </c>
      <c r="H194" s="296" t="s">
        <v>15855</v>
      </c>
      <c r="I194" s="297" t="s">
        <v>1668</v>
      </c>
      <c r="J194" s="297" t="s">
        <v>3135</v>
      </c>
      <c r="K194" s="298" t="s">
        <v>15855</v>
      </c>
      <c r="L194" s="298" t="s">
        <v>15855</v>
      </c>
      <c r="M194" s="298" t="s">
        <v>15855</v>
      </c>
      <c r="N194" s="298" t="s">
        <v>15855</v>
      </c>
      <c r="O194" s="298" t="s">
        <v>15858</v>
      </c>
      <c r="P194" s="299" t="s">
        <v>15857</v>
      </c>
      <c r="Q194" s="300" t="s">
        <v>15855</v>
      </c>
      <c r="R194" s="182" t="str">
        <f ca="1">IF(ISERROR($V194),"",OFFSET('Smelter Look-up'!$C$4,$V194-4,0)&amp;"")</f>
        <v>Industrial Refining Company</v>
      </c>
      <c r="S194" s="181" t="str">
        <f t="shared" ca="1" si="23"/>
        <v>BE</v>
      </c>
      <c r="T194" s="181" t="str">
        <f ca="1">IF(B194="","",IF(ISERROR(MATCH($J194,SorP!$B$1:$B$6226,0)),"",INDIRECT("'SorP'!$A$"&amp;MATCH($S194&amp;$J194,SorP!C:C,0))))</f>
        <v>BE-VAN</v>
      </c>
      <c r="U194" s="201"/>
      <c r="V194" s="226">
        <f>IF(C194="",NA(),IF(OR(C194="Smelter not listed",C194="Smelter not yet identified"),MATCH($B194&amp;$D194,'Smelter Look-up'!$J:$J,0),MATCH($B194&amp;$C194,'Smelter Look-up'!$J:$J,0)))</f>
        <v>124</v>
      </c>
      <c r="X194" s="227">
        <f t="shared" si="24"/>
        <v>0</v>
      </c>
      <c r="AB194" s="228" t="str">
        <f t="shared" si="25"/>
        <v>GoldIndustrial Refining Company</v>
      </c>
    </row>
    <row r="195" spans="1:28" s="227" customFormat="1" ht="121.5">
      <c r="A195" s="301" t="s">
        <v>677</v>
      </c>
      <c r="B195" s="293" t="s">
        <v>1119</v>
      </c>
      <c r="C195" s="294" t="s">
        <v>2281</v>
      </c>
      <c r="D195" s="295" t="s">
        <v>2281</v>
      </c>
      <c r="E195" s="293" t="s">
        <v>1090</v>
      </c>
      <c r="F195" s="293" t="s">
        <v>677</v>
      </c>
      <c r="G195" s="293" t="s">
        <v>13217</v>
      </c>
      <c r="H195" s="296" t="s">
        <v>15855</v>
      </c>
      <c r="I195" s="297" t="s">
        <v>1585</v>
      </c>
      <c r="J195" s="297" t="s">
        <v>13579</v>
      </c>
      <c r="K195" s="298" t="s">
        <v>15855</v>
      </c>
      <c r="L195" s="298" t="s">
        <v>15855</v>
      </c>
      <c r="M195" s="298" t="s">
        <v>15855</v>
      </c>
      <c r="N195" s="298" t="s">
        <v>15855</v>
      </c>
      <c r="O195" s="298" t="s">
        <v>15855</v>
      </c>
      <c r="P195" s="299" t="s">
        <v>15857</v>
      </c>
      <c r="Q195" s="300" t="s">
        <v>15855</v>
      </c>
      <c r="R195" s="182" t="str">
        <f ca="1">IF(ISERROR($V195),"",OFFSET('Smelter Look-up'!$C$4,$V195-4,0)&amp;"")</f>
        <v>Inner Mongolia Qiankun Gold and Silver Refinery Share Co., Ltd.</v>
      </c>
      <c r="S195" s="181" t="str">
        <f t="shared" ca="1" si="23"/>
        <v>CN</v>
      </c>
      <c r="T195" s="181" t="str">
        <f ca="1">IF(B195="","",IF(ISERROR(MATCH($J195,SorP!$B$1:$B$6226,0)),"",INDIRECT("'SorP'!$A$"&amp;MATCH($S195&amp;$J195,SorP!C:C,0))))</f>
        <v>CN-NM</v>
      </c>
      <c r="U195" s="201"/>
      <c r="V195" s="226">
        <f>IF(C195="",NA(),IF(OR(C195="Smelter not listed",C195="Smelter not yet identified"),MATCH($B195&amp;$D195,'Smelter Look-up'!$J:$J,0),MATCH($B195&amp;$C195,'Smelter Look-up'!$J:$J,0)))</f>
        <v>125</v>
      </c>
      <c r="X195" s="227">
        <f t="shared" si="24"/>
        <v>0</v>
      </c>
      <c r="AB195" s="228" t="str">
        <f t="shared" si="25"/>
        <v>GoldInner Mongolia Qiankun Gold and Silver Refinery Share Co., Ltd.</v>
      </c>
    </row>
    <row r="196" spans="1:28" s="227" customFormat="1" ht="121.5">
      <c r="A196" s="301" t="s">
        <v>677</v>
      </c>
      <c r="B196" s="293" t="s">
        <v>1119</v>
      </c>
      <c r="C196" s="294" t="s">
        <v>2281</v>
      </c>
      <c r="D196" s="295" t="s">
        <v>2281</v>
      </c>
      <c r="E196" s="293" t="s">
        <v>1090</v>
      </c>
      <c r="F196" s="293" t="s">
        <v>677</v>
      </c>
      <c r="G196" s="293" t="s">
        <v>13217</v>
      </c>
      <c r="H196" s="296" t="s">
        <v>15855</v>
      </c>
      <c r="I196" s="297" t="s">
        <v>1585</v>
      </c>
      <c r="J196" s="297" t="s">
        <v>13579</v>
      </c>
      <c r="K196" s="298" t="s">
        <v>15855</v>
      </c>
      <c r="L196" s="298" t="s">
        <v>15855</v>
      </c>
      <c r="M196" s="298" t="s">
        <v>15855</v>
      </c>
      <c r="N196" s="298" t="s">
        <v>15855</v>
      </c>
      <c r="O196" s="298" t="s">
        <v>15858</v>
      </c>
      <c r="P196" s="299" t="s">
        <v>15857</v>
      </c>
      <c r="Q196" s="300" t="s">
        <v>15855</v>
      </c>
      <c r="R196" s="182" t="str">
        <f ca="1">IF(ISERROR($V196),"",OFFSET('Smelter Look-up'!$C$4,$V196-4,0)&amp;"")</f>
        <v>Inner Mongolia Qiankun Gold and Silver Refinery Share Co., Ltd.</v>
      </c>
      <c r="S196" s="181" t="str">
        <f t="shared" ca="1" si="23"/>
        <v>CN</v>
      </c>
      <c r="T196" s="181" t="str">
        <f ca="1">IF(B196="","",IF(ISERROR(MATCH($J196,SorP!$B$1:$B$6226,0)),"",INDIRECT("'SorP'!$A$"&amp;MATCH($S196&amp;$J196,SorP!C:C,0))))</f>
        <v>CN-NM</v>
      </c>
      <c r="U196" s="201"/>
      <c r="V196" s="226">
        <f>IF(C196="",NA(),IF(OR(C196="Smelter not listed",C196="Smelter not yet identified"),MATCH($B196&amp;$D196,'Smelter Look-up'!$J:$J,0),MATCH($B196&amp;$C196,'Smelter Look-up'!$J:$J,0)))</f>
        <v>125</v>
      </c>
      <c r="X196" s="227">
        <f t="shared" si="24"/>
        <v>0</v>
      </c>
      <c r="AB196" s="228" t="str">
        <f t="shared" si="25"/>
        <v>GoldInner Mongolia Qiankun Gold and Silver Refinery Share Co., Ltd.</v>
      </c>
    </row>
    <row r="197" spans="1:28" s="227" customFormat="1" ht="121.5">
      <c r="A197" s="301" t="s">
        <v>677</v>
      </c>
      <c r="B197" s="293" t="s">
        <v>1119</v>
      </c>
      <c r="C197" s="294" t="s">
        <v>2281</v>
      </c>
      <c r="D197" s="295" t="s">
        <v>2281</v>
      </c>
      <c r="E197" s="293" t="s">
        <v>1090</v>
      </c>
      <c r="F197" s="293" t="s">
        <v>677</v>
      </c>
      <c r="G197" s="293" t="s">
        <v>13217</v>
      </c>
      <c r="H197" s="296" t="s">
        <v>15855</v>
      </c>
      <c r="I197" s="297" t="s">
        <v>1585</v>
      </c>
      <c r="J197" s="297" t="s">
        <v>13579</v>
      </c>
      <c r="K197" s="298" t="s">
        <v>15855</v>
      </c>
      <c r="L197" s="298" t="s">
        <v>16025</v>
      </c>
      <c r="M197" s="298" t="s">
        <v>16026</v>
      </c>
      <c r="N197" s="298" t="s">
        <v>15862</v>
      </c>
      <c r="O197" s="298" t="s">
        <v>15893</v>
      </c>
      <c r="P197" s="299" t="s">
        <v>15857</v>
      </c>
      <c r="Q197" s="300" t="s">
        <v>15855</v>
      </c>
      <c r="R197" s="182" t="str">
        <f ca="1">IF(ISERROR($V197),"",OFFSET('Smelter Look-up'!$C$4,$V197-4,0)&amp;"")</f>
        <v>Inner Mongolia Qiankun Gold and Silver Refinery Share Co., Ltd.</v>
      </c>
      <c r="S197" s="181" t="str">
        <f t="shared" ref="S197" ca="1" si="26">IF(B197="","",IF(ISERROR(MATCH($E197,CL,0)),"Unknown",INDIRECT("'C'!$A$"&amp;MATCH($E197,CL,0)+1)))</f>
        <v>CN</v>
      </c>
      <c r="T197" s="181" t="str">
        <f ca="1">IF(B197="","",IF(ISERROR(MATCH($J197,SorP!$B$1:$B$6226,0)),"",INDIRECT("'SorP'!$A$"&amp;MATCH($S197&amp;$J197,SorP!C:C,0))))</f>
        <v>CN-NM</v>
      </c>
      <c r="U197" s="201"/>
      <c r="V197" s="226">
        <f>IF(C197="",NA(),IF(OR(C197="Smelter not listed",C197="Smelter not yet identified"),MATCH($B197&amp;$D197,'Smelter Look-up'!$J:$J,0),MATCH($B197&amp;$C197,'Smelter Look-up'!$J:$J,0)))</f>
        <v>125</v>
      </c>
      <c r="X197" s="227">
        <f t="shared" ref="X197" si="27">IF(AND(C197="Smelter not listed",OR(LEN(D197)=0,LEN(E197)=0)),1,0)</f>
        <v>0</v>
      </c>
      <c r="AB197" s="228" t="str">
        <f t="shared" ref="AB197" si="28">B197&amp;C197</f>
        <v>GoldInner Mongolia Qiankun Gold and Silver Refinery Share Co., Ltd.</v>
      </c>
    </row>
    <row r="198" spans="1:28" s="227" customFormat="1" ht="67.5">
      <c r="A198" s="301" t="s">
        <v>13768</v>
      </c>
      <c r="B198" s="293" t="s">
        <v>1119</v>
      </c>
      <c r="C198" s="294" t="s">
        <v>13767</v>
      </c>
      <c r="D198" s="295" t="s">
        <v>13767</v>
      </c>
      <c r="E198" s="293" t="s">
        <v>1082</v>
      </c>
      <c r="F198" s="293" t="s">
        <v>13768</v>
      </c>
      <c r="G198" s="293" t="s">
        <v>13217</v>
      </c>
      <c r="H198" s="296" t="s">
        <v>15855</v>
      </c>
      <c r="I198" s="297" t="s">
        <v>1694</v>
      </c>
      <c r="J198" s="297" t="s">
        <v>2555</v>
      </c>
      <c r="K198" s="298" t="s">
        <v>15855</v>
      </c>
      <c r="L198" s="298" t="s">
        <v>15855</v>
      </c>
      <c r="M198" s="298" t="s">
        <v>15855</v>
      </c>
      <c r="N198" s="298" t="s">
        <v>15855</v>
      </c>
      <c r="O198" s="298" t="s">
        <v>15858</v>
      </c>
      <c r="P198" s="299" t="s">
        <v>15857</v>
      </c>
      <c r="Q198" s="300" t="s">
        <v>15855</v>
      </c>
      <c r="R198" s="182" t="str">
        <f ca="1">IF(ISERROR($V198),"",OFFSET('Smelter Look-up'!$C$4,$V198-4,0)&amp;"")</f>
        <v>International Precious Metal Refiners</v>
      </c>
      <c r="S198" s="181" t="str">
        <f t="shared" ref="S198:S229" ca="1" si="29">IF(B198="","",IF(ISERROR(MATCH($E198,CL,0)),"Unknown",INDIRECT("'C'!$A$"&amp;MATCH($E198,CL,0)+1)))</f>
        <v>AE</v>
      </c>
      <c r="T198" s="181" t="str">
        <f ca="1">IF(B198="","",IF(ISERROR(MATCH($J198,SorP!$B$1:$B$6226,0)),"",INDIRECT("'SorP'!$A$"&amp;MATCH($S198&amp;$J198,SorP!C:C,0))))</f>
        <v>AE-DU</v>
      </c>
      <c r="U198" s="201"/>
      <c r="V198" s="226">
        <f>IF(C198="",NA(),IF(OR(C198="Smelter not listed",C198="Smelter not yet identified"),MATCH($B198&amp;$D198,'Smelter Look-up'!$J:$J,0),MATCH($B198&amp;$C198,'Smelter Look-up'!$J:$J,0)))</f>
        <v>126</v>
      </c>
      <c r="X198" s="227">
        <f t="shared" ref="X198:X229" si="30">IF(AND(C198="Smelter not listed",OR(LEN(D198)=0,LEN(E198)=0)),1,0)</f>
        <v>0</v>
      </c>
      <c r="AB198" s="228" t="str">
        <f t="shared" ref="AB198:AB229" si="31">B198&amp;C198</f>
        <v>GoldInternational Precious Metal Refiners</v>
      </c>
    </row>
    <row r="199" spans="1:28" s="227" customFormat="1" ht="67.5">
      <c r="A199" s="301" t="s">
        <v>678</v>
      </c>
      <c r="B199" s="293" t="s">
        <v>1119</v>
      </c>
      <c r="C199" s="294" t="s">
        <v>1216</v>
      </c>
      <c r="D199" s="295" t="s">
        <v>1216</v>
      </c>
      <c r="E199" s="293" t="s">
        <v>1098</v>
      </c>
      <c r="F199" s="293" t="s">
        <v>678</v>
      </c>
      <c r="G199" s="293" t="s">
        <v>13217</v>
      </c>
      <c r="H199" s="296" t="s">
        <v>15855</v>
      </c>
      <c r="I199" s="297" t="s">
        <v>1586</v>
      </c>
      <c r="J199" s="297" t="s">
        <v>1573</v>
      </c>
      <c r="K199" s="298" t="s">
        <v>15855</v>
      </c>
      <c r="L199" s="298" t="s">
        <v>15855</v>
      </c>
      <c r="M199" s="298" t="s">
        <v>15855</v>
      </c>
      <c r="N199" s="298" t="s">
        <v>15855</v>
      </c>
      <c r="O199" s="298" t="s">
        <v>15855</v>
      </c>
      <c r="P199" s="299" t="s">
        <v>15857</v>
      </c>
      <c r="Q199" s="300" t="s">
        <v>15855</v>
      </c>
      <c r="R199" s="182" t="str">
        <f ca="1">IF(ISERROR($V199),"",OFFSET('Smelter Look-up'!$C$4,$V199-4,0)&amp;"")</f>
        <v>Ishifuku Metal Industry Co., Ltd.</v>
      </c>
      <c r="S199" s="181" t="str">
        <f t="shared" ca="1" si="29"/>
        <v>JP</v>
      </c>
      <c r="T199" s="181" t="str">
        <f ca="1">IF(B199="","",IF(ISERROR(MATCH($J199,SorP!$B$1:$B$6226,0)),"",INDIRECT("'SorP'!$A$"&amp;MATCH($S199&amp;$J199,SorP!C:C,0))))</f>
        <v>JP-11</v>
      </c>
      <c r="U199" s="201"/>
      <c r="V199" s="226">
        <f>IF(C199="",NA(),IF(OR(C199="Smelter not listed",C199="Smelter not yet identified"),MATCH($B199&amp;$D199,'Smelter Look-up'!$J:$J,0),MATCH($B199&amp;$C199,'Smelter Look-up'!$J:$J,0)))</f>
        <v>127</v>
      </c>
      <c r="X199" s="227">
        <f t="shared" si="30"/>
        <v>0</v>
      </c>
      <c r="AB199" s="228" t="str">
        <f t="shared" si="31"/>
        <v>GoldIshifuku Metal Industry Co., Ltd.</v>
      </c>
    </row>
    <row r="200" spans="1:28" s="227" customFormat="1" ht="67.5">
      <c r="A200" s="301" t="s">
        <v>678</v>
      </c>
      <c r="B200" s="293" t="s">
        <v>1119</v>
      </c>
      <c r="C200" s="294" t="s">
        <v>1216</v>
      </c>
      <c r="D200" s="295" t="s">
        <v>1216</v>
      </c>
      <c r="E200" s="293" t="s">
        <v>1098</v>
      </c>
      <c r="F200" s="293" t="s">
        <v>678</v>
      </c>
      <c r="G200" s="293" t="s">
        <v>13217</v>
      </c>
      <c r="H200" s="296" t="s">
        <v>15855</v>
      </c>
      <c r="I200" s="297" t="s">
        <v>1586</v>
      </c>
      <c r="J200" s="297" t="s">
        <v>1573</v>
      </c>
      <c r="K200" s="298" t="s">
        <v>15855</v>
      </c>
      <c r="L200" s="298" t="s">
        <v>15855</v>
      </c>
      <c r="M200" s="298" t="s">
        <v>15855</v>
      </c>
      <c r="N200" s="298" t="s">
        <v>15855</v>
      </c>
      <c r="O200" s="298" t="s">
        <v>15855</v>
      </c>
      <c r="P200" s="299" t="s">
        <v>15857</v>
      </c>
      <c r="Q200" s="300" t="s">
        <v>15907</v>
      </c>
      <c r="R200" s="182" t="str">
        <f ca="1">IF(ISERROR($V200),"",OFFSET('Smelter Look-up'!$C$4,$V200-4,0)&amp;"")</f>
        <v>Ishifuku Metal Industry Co., Ltd.</v>
      </c>
      <c r="S200" s="181" t="str">
        <f t="shared" ca="1" si="29"/>
        <v>JP</v>
      </c>
      <c r="T200" s="181" t="str">
        <f ca="1">IF(B200="","",IF(ISERROR(MATCH($J200,SorP!$B$1:$B$6226,0)),"",INDIRECT("'SorP'!$A$"&amp;MATCH($S200&amp;$J200,SorP!C:C,0))))</f>
        <v>JP-11</v>
      </c>
      <c r="U200" s="201"/>
      <c r="V200" s="226">
        <f>IF(C200="",NA(),IF(OR(C200="Smelter not listed",C200="Smelter not yet identified"),MATCH($B200&amp;$D200,'Smelter Look-up'!$J:$J,0),MATCH($B200&amp;$C200,'Smelter Look-up'!$J:$J,0)))</f>
        <v>127</v>
      </c>
      <c r="X200" s="227">
        <f t="shared" si="30"/>
        <v>0</v>
      </c>
      <c r="AB200" s="228" t="str">
        <f t="shared" si="31"/>
        <v>GoldIshifuku Metal Industry Co., Ltd.</v>
      </c>
    </row>
    <row r="201" spans="1:28" s="227" customFormat="1" ht="67.5">
      <c r="A201" s="301" t="s">
        <v>678</v>
      </c>
      <c r="B201" s="293" t="s">
        <v>1119</v>
      </c>
      <c r="C201" s="294" t="s">
        <v>1216</v>
      </c>
      <c r="D201" s="295" t="s">
        <v>1216</v>
      </c>
      <c r="E201" s="293" t="s">
        <v>1098</v>
      </c>
      <c r="F201" s="293" t="s">
        <v>678</v>
      </c>
      <c r="G201" s="293" t="s">
        <v>13217</v>
      </c>
      <c r="H201" s="296" t="s">
        <v>15855</v>
      </c>
      <c r="I201" s="297" t="s">
        <v>1586</v>
      </c>
      <c r="J201" s="297" t="s">
        <v>1573</v>
      </c>
      <c r="K201" s="298" t="s">
        <v>15855</v>
      </c>
      <c r="L201" s="298" t="s">
        <v>15855</v>
      </c>
      <c r="M201" s="298" t="s">
        <v>15855</v>
      </c>
      <c r="N201" s="298" t="s">
        <v>15855</v>
      </c>
      <c r="O201" s="298" t="s">
        <v>15855</v>
      </c>
      <c r="P201" s="299" t="s">
        <v>15875</v>
      </c>
      <c r="Q201" s="300" t="s">
        <v>15855</v>
      </c>
      <c r="R201" s="182" t="str">
        <f ca="1">IF(ISERROR($V201),"",OFFSET('Smelter Look-up'!$C$4,$V201-4,0)&amp;"")</f>
        <v>Ishifuku Metal Industry Co., Ltd.</v>
      </c>
      <c r="S201" s="181" t="str">
        <f t="shared" ca="1" si="29"/>
        <v>JP</v>
      </c>
      <c r="T201" s="181" t="str">
        <f ca="1">IF(B201="","",IF(ISERROR(MATCH($J201,SorP!$B$1:$B$6226,0)),"",INDIRECT("'SorP'!$A$"&amp;MATCH($S201&amp;$J201,SorP!C:C,0))))</f>
        <v>JP-11</v>
      </c>
      <c r="U201" s="201"/>
      <c r="V201" s="226">
        <f>IF(C201="",NA(),IF(OR(C201="Smelter not listed",C201="Smelter not yet identified"),MATCH($B201&amp;$D201,'Smelter Look-up'!$J:$J,0),MATCH($B201&amp;$C201,'Smelter Look-up'!$J:$J,0)))</f>
        <v>127</v>
      </c>
      <c r="X201" s="227">
        <f t="shared" si="30"/>
        <v>0</v>
      </c>
      <c r="AB201" s="228" t="str">
        <f t="shared" si="31"/>
        <v>GoldIshifuku Metal Industry Co., Ltd.</v>
      </c>
    </row>
    <row r="202" spans="1:28" s="227" customFormat="1" ht="67.5">
      <c r="A202" s="301" t="s">
        <v>678</v>
      </c>
      <c r="B202" s="293" t="s">
        <v>1119</v>
      </c>
      <c r="C202" s="294" t="s">
        <v>1216</v>
      </c>
      <c r="D202" s="295" t="s">
        <v>1216</v>
      </c>
      <c r="E202" s="293" t="s">
        <v>1098</v>
      </c>
      <c r="F202" s="293" t="s">
        <v>678</v>
      </c>
      <c r="G202" s="293" t="s">
        <v>13217</v>
      </c>
      <c r="H202" s="296" t="s">
        <v>15855</v>
      </c>
      <c r="I202" s="297" t="s">
        <v>1586</v>
      </c>
      <c r="J202" s="297" t="s">
        <v>1573</v>
      </c>
      <c r="K202" s="298" t="s">
        <v>15855</v>
      </c>
      <c r="L202" s="298" t="s">
        <v>15855</v>
      </c>
      <c r="M202" s="298" t="s">
        <v>15855</v>
      </c>
      <c r="N202" s="298" t="s">
        <v>15855</v>
      </c>
      <c r="O202" s="298" t="s">
        <v>16027</v>
      </c>
      <c r="P202" s="299" t="s">
        <v>15857</v>
      </c>
      <c r="Q202" s="300" t="s">
        <v>15855</v>
      </c>
      <c r="R202" s="182" t="str">
        <f ca="1">IF(ISERROR($V202),"",OFFSET('Smelter Look-up'!$C$4,$V202-4,0)&amp;"")</f>
        <v>Ishifuku Metal Industry Co., Ltd.</v>
      </c>
      <c r="S202" s="181" t="str">
        <f t="shared" ca="1" si="29"/>
        <v>JP</v>
      </c>
      <c r="T202" s="181" t="str">
        <f ca="1">IF(B202="","",IF(ISERROR(MATCH($J202,SorP!$B$1:$B$6226,0)),"",INDIRECT("'SorP'!$A$"&amp;MATCH($S202&amp;$J202,SorP!C:C,0))))</f>
        <v>JP-11</v>
      </c>
      <c r="U202" s="201"/>
      <c r="V202" s="226">
        <f>IF(C202="",NA(),IF(OR(C202="Smelter not listed",C202="Smelter not yet identified"),MATCH($B202&amp;$D202,'Smelter Look-up'!$J:$J,0),MATCH($B202&amp;$C202,'Smelter Look-up'!$J:$J,0)))</f>
        <v>127</v>
      </c>
      <c r="X202" s="227">
        <f t="shared" si="30"/>
        <v>0</v>
      </c>
      <c r="AB202" s="228" t="str">
        <f t="shared" si="31"/>
        <v>GoldIshifuku Metal Industry Co., Ltd.</v>
      </c>
    </row>
    <row r="203" spans="1:28" s="227" customFormat="1" ht="67.5">
      <c r="A203" s="301" t="s">
        <v>678</v>
      </c>
      <c r="B203" s="293" t="s">
        <v>1119</v>
      </c>
      <c r="C203" s="294" t="s">
        <v>1216</v>
      </c>
      <c r="D203" s="295" t="s">
        <v>1216</v>
      </c>
      <c r="E203" s="293" t="s">
        <v>1098</v>
      </c>
      <c r="F203" s="293" t="s">
        <v>678</v>
      </c>
      <c r="G203" s="293" t="s">
        <v>13217</v>
      </c>
      <c r="H203" s="296" t="s">
        <v>15855</v>
      </c>
      <c r="I203" s="297" t="s">
        <v>1586</v>
      </c>
      <c r="J203" s="297" t="s">
        <v>1573</v>
      </c>
      <c r="K203" s="298" t="s">
        <v>16028</v>
      </c>
      <c r="L203" s="298" t="s">
        <v>16029</v>
      </c>
      <c r="M203" s="298" t="s">
        <v>16030</v>
      </c>
      <c r="N203" s="298" t="s">
        <v>16031</v>
      </c>
      <c r="O203" s="298" t="s">
        <v>15893</v>
      </c>
      <c r="P203" s="299" t="s">
        <v>15857</v>
      </c>
      <c r="Q203" s="300" t="s">
        <v>15855</v>
      </c>
      <c r="R203" s="182" t="str">
        <f ca="1">IF(ISERROR($V203),"",OFFSET('Smelter Look-up'!$C$4,$V203-4,0)&amp;"")</f>
        <v>Ishifuku Metal Industry Co., Ltd.</v>
      </c>
      <c r="S203" s="181" t="str">
        <f t="shared" ca="1" si="29"/>
        <v>JP</v>
      </c>
      <c r="T203" s="181" t="str">
        <f ca="1">IF(B203="","",IF(ISERROR(MATCH($J203,SorP!$B$1:$B$6226,0)),"",INDIRECT("'SorP'!$A$"&amp;MATCH($S203&amp;$J203,SorP!C:C,0))))</f>
        <v>JP-11</v>
      </c>
      <c r="U203" s="201"/>
      <c r="V203" s="226">
        <f>IF(C203="",NA(),IF(OR(C203="Smelter not listed",C203="Smelter not yet identified"),MATCH($B203&amp;$D203,'Smelter Look-up'!$J:$J,0),MATCH($B203&amp;$C203,'Smelter Look-up'!$J:$J,0)))</f>
        <v>127</v>
      </c>
      <c r="X203" s="227">
        <f t="shared" si="30"/>
        <v>0</v>
      </c>
      <c r="AB203" s="228" t="str">
        <f t="shared" si="31"/>
        <v>GoldIshifuku Metal Industry Co., Ltd.</v>
      </c>
    </row>
    <row r="204" spans="1:28" s="227" customFormat="1" ht="67.5">
      <c r="A204" s="301" t="s">
        <v>678</v>
      </c>
      <c r="B204" s="293" t="s">
        <v>1119</v>
      </c>
      <c r="C204" s="294" t="s">
        <v>1216</v>
      </c>
      <c r="D204" s="295" t="s">
        <v>1216</v>
      </c>
      <c r="E204" s="293" t="s">
        <v>1098</v>
      </c>
      <c r="F204" s="293" t="s">
        <v>678</v>
      </c>
      <c r="G204" s="293" t="s">
        <v>13217</v>
      </c>
      <c r="H204" s="302" t="s">
        <v>15880</v>
      </c>
      <c r="I204" s="297" t="s">
        <v>1586</v>
      </c>
      <c r="J204" s="297" t="s">
        <v>1573</v>
      </c>
      <c r="K204" s="298" t="s">
        <v>15855</v>
      </c>
      <c r="L204" s="298" t="s">
        <v>15855</v>
      </c>
      <c r="M204" s="298" t="s">
        <v>15855</v>
      </c>
      <c r="N204" s="298" t="s">
        <v>15855</v>
      </c>
      <c r="O204" s="298" t="s">
        <v>15855</v>
      </c>
      <c r="P204" s="299" t="s">
        <v>15857</v>
      </c>
      <c r="Q204" s="300" t="s">
        <v>15855</v>
      </c>
      <c r="R204" s="182" t="str">
        <f ca="1">IF(ISERROR($V204),"",OFFSET('Smelter Look-up'!$C$4,$V204-4,0)&amp;"")</f>
        <v>Ishifuku Metal Industry Co., Ltd.</v>
      </c>
      <c r="S204" s="181" t="str">
        <f t="shared" ca="1" si="29"/>
        <v>JP</v>
      </c>
      <c r="T204" s="181" t="str">
        <f ca="1">IF(B204="","",IF(ISERROR(MATCH($J204,SorP!$B$1:$B$6226,0)),"",INDIRECT("'SorP'!$A$"&amp;MATCH($S204&amp;$J204,SorP!C:C,0))))</f>
        <v>JP-11</v>
      </c>
      <c r="U204" s="201"/>
      <c r="V204" s="226">
        <f>IF(C204="",NA(),IF(OR(C204="Smelter not listed",C204="Smelter not yet identified"),MATCH($B204&amp;$D204,'Smelter Look-up'!$J:$J,0),MATCH($B204&amp;$C204,'Smelter Look-up'!$J:$J,0)))</f>
        <v>127</v>
      </c>
      <c r="X204" s="227">
        <f t="shared" si="30"/>
        <v>0</v>
      </c>
      <c r="AB204" s="228" t="str">
        <f t="shared" si="31"/>
        <v>GoldIshifuku Metal Industry Co., Ltd.</v>
      </c>
    </row>
    <row r="205" spans="1:28" s="227" customFormat="1" ht="67.5">
      <c r="A205" s="301" t="s">
        <v>678</v>
      </c>
      <c r="B205" s="293" t="s">
        <v>1119</v>
      </c>
      <c r="C205" s="294" t="s">
        <v>1216</v>
      </c>
      <c r="D205" s="295" t="s">
        <v>1216</v>
      </c>
      <c r="E205" s="293" t="s">
        <v>1098</v>
      </c>
      <c r="F205" s="293" t="s">
        <v>678</v>
      </c>
      <c r="G205" s="293" t="s">
        <v>13217</v>
      </c>
      <c r="H205" s="302" t="s">
        <v>15880</v>
      </c>
      <c r="I205" s="297" t="s">
        <v>1586</v>
      </c>
      <c r="J205" s="297" t="s">
        <v>1573</v>
      </c>
      <c r="K205" s="298" t="s">
        <v>15855</v>
      </c>
      <c r="L205" s="298" t="s">
        <v>15855</v>
      </c>
      <c r="M205" s="298" t="s">
        <v>15855</v>
      </c>
      <c r="N205" s="298" t="s">
        <v>15855</v>
      </c>
      <c r="O205" s="298" t="s">
        <v>15855</v>
      </c>
      <c r="P205" s="299" t="s">
        <v>15857</v>
      </c>
      <c r="Q205" s="300" t="s">
        <v>16032</v>
      </c>
      <c r="R205" s="182" t="str">
        <f ca="1">IF(ISERROR($V205),"",OFFSET('Smelter Look-up'!$C$4,$V205-4,0)&amp;"")</f>
        <v>Ishifuku Metal Industry Co., Ltd.</v>
      </c>
      <c r="S205" s="181" t="str">
        <f t="shared" ca="1" si="29"/>
        <v>JP</v>
      </c>
      <c r="T205" s="181" t="str">
        <f ca="1">IF(B205="","",IF(ISERROR(MATCH($J205,SorP!$B$1:$B$6226,0)),"",INDIRECT("'SorP'!$A$"&amp;MATCH($S205&amp;$J205,SorP!C:C,0))))</f>
        <v>JP-11</v>
      </c>
      <c r="U205" s="201"/>
      <c r="V205" s="226">
        <f>IF(C205="",NA(),IF(OR(C205="Smelter not listed",C205="Smelter not yet identified"),MATCH($B205&amp;$D205,'Smelter Look-up'!$J:$J,0),MATCH($B205&amp;$C205,'Smelter Look-up'!$J:$J,0)))</f>
        <v>127</v>
      </c>
      <c r="X205" s="227">
        <f t="shared" si="30"/>
        <v>0</v>
      </c>
      <c r="AB205" s="228" t="str">
        <f t="shared" si="31"/>
        <v>GoldIshifuku Metal Industry Co., Ltd.</v>
      </c>
    </row>
    <row r="206" spans="1:28" s="227" customFormat="1" ht="67.5">
      <c r="A206" s="301" t="s">
        <v>678</v>
      </c>
      <c r="B206" s="293" t="s">
        <v>1119</v>
      </c>
      <c r="C206" s="294" t="s">
        <v>1216</v>
      </c>
      <c r="D206" s="295" t="s">
        <v>1216</v>
      </c>
      <c r="E206" s="293" t="s">
        <v>1098</v>
      </c>
      <c r="F206" s="293" t="s">
        <v>678</v>
      </c>
      <c r="G206" s="293" t="s">
        <v>13217</v>
      </c>
      <c r="H206" s="302" t="s">
        <v>15880</v>
      </c>
      <c r="I206" s="297" t="s">
        <v>1586</v>
      </c>
      <c r="J206" s="297" t="s">
        <v>1573</v>
      </c>
      <c r="K206" s="298" t="s">
        <v>15855</v>
      </c>
      <c r="L206" s="298" t="s">
        <v>15855</v>
      </c>
      <c r="M206" s="298" t="s">
        <v>15855</v>
      </c>
      <c r="N206" s="298" t="s">
        <v>15855</v>
      </c>
      <c r="O206" s="298" t="s">
        <v>15855</v>
      </c>
      <c r="P206" s="299" t="s">
        <v>15857</v>
      </c>
      <c r="Q206" s="300" t="s">
        <v>15912</v>
      </c>
      <c r="R206" s="182" t="str">
        <f ca="1">IF(ISERROR($V206),"",OFFSET('Smelter Look-up'!$C$4,$V206-4,0)&amp;"")</f>
        <v>Ishifuku Metal Industry Co., Ltd.</v>
      </c>
      <c r="S206" s="181" t="str">
        <f t="shared" ca="1" si="29"/>
        <v>JP</v>
      </c>
      <c r="T206" s="181" t="str">
        <f ca="1">IF(B206="","",IF(ISERROR(MATCH($J206,SorP!$B$1:$B$6226,0)),"",INDIRECT("'SorP'!$A$"&amp;MATCH($S206&amp;$J206,SorP!C:C,0))))</f>
        <v>JP-11</v>
      </c>
      <c r="U206" s="201"/>
      <c r="V206" s="226">
        <f>IF(C206="",NA(),IF(OR(C206="Smelter not listed",C206="Smelter not yet identified"),MATCH($B206&amp;$D206,'Smelter Look-up'!$J:$J,0),MATCH($B206&amp;$C206,'Smelter Look-up'!$J:$J,0)))</f>
        <v>127</v>
      </c>
      <c r="X206" s="227">
        <f t="shared" si="30"/>
        <v>0</v>
      </c>
      <c r="AB206" s="228" t="str">
        <f t="shared" si="31"/>
        <v>GoldIshifuku Metal Industry Co., Ltd.</v>
      </c>
    </row>
    <row r="207" spans="1:28" s="227" customFormat="1" ht="54">
      <c r="A207" s="301" t="s">
        <v>679</v>
      </c>
      <c r="B207" s="293" t="s">
        <v>1119</v>
      </c>
      <c r="C207" s="294" t="s">
        <v>1223</v>
      </c>
      <c r="D207" s="295" t="s">
        <v>1223</v>
      </c>
      <c r="E207" s="293" t="s">
        <v>879</v>
      </c>
      <c r="F207" s="293" t="s">
        <v>679</v>
      </c>
      <c r="G207" s="293" t="s">
        <v>13217</v>
      </c>
      <c r="H207" s="296" t="s">
        <v>15855</v>
      </c>
      <c r="I207" s="297" t="s">
        <v>1587</v>
      </c>
      <c r="J207" s="297" t="s">
        <v>11246</v>
      </c>
      <c r="K207" s="298" t="s">
        <v>15855</v>
      </c>
      <c r="L207" s="298" t="s">
        <v>15855</v>
      </c>
      <c r="M207" s="298" t="s">
        <v>15855</v>
      </c>
      <c r="N207" s="298" t="s">
        <v>15855</v>
      </c>
      <c r="O207" s="298" t="s">
        <v>15855</v>
      </c>
      <c r="P207" s="299" t="s">
        <v>15857</v>
      </c>
      <c r="Q207" s="300" t="s">
        <v>15855</v>
      </c>
      <c r="R207" s="182" t="str">
        <f ca="1">IF(ISERROR($V207),"",OFFSET('Smelter Look-up'!$C$4,$V207-4,0)&amp;"")</f>
        <v>Istanbul Gold Refinery</v>
      </c>
      <c r="S207" s="181" t="str">
        <f t="shared" ca="1" si="29"/>
        <v>TR</v>
      </c>
      <c r="T207" s="181" t="str">
        <f ca="1">IF(B207="","",IF(ISERROR(MATCH($J207,SorP!$B$1:$B$6226,0)),"",INDIRECT("'SorP'!$A$"&amp;MATCH($S207&amp;$J207,SorP!C:C,0))))</f>
        <v>TR-34</v>
      </c>
      <c r="U207" s="201"/>
      <c r="V207" s="226">
        <f>IF(C207="",NA(),IF(OR(C207="Smelter not listed",C207="Smelter not yet identified"),MATCH($B207&amp;$D207,'Smelter Look-up'!$J:$J,0),MATCH($B207&amp;$C207,'Smelter Look-up'!$J:$J,0)))</f>
        <v>128</v>
      </c>
      <c r="X207" s="227">
        <f t="shared" si="30"/>
        <v>0</v>
      </c>
      <c r="AB207" s="228" t="str">
        <f t="shared" si="31"/>
        <v>GoldIstanbul Gold Refinery</v>
      </c>
    </row>
    <row r="208" spans="1:28" s="227" customFormat="1" ht="54">
      <c r="A208" s="301" t="s">
        <v>679</v>
      </c>
      <c r="B208" s="293" t="s">
        <v>1119</v>
      </c>
      <c r="C208" s="294" t="s">
        <v>1223</v>
      </c>
      <c r="D208" s="295" t="s">
        <v>1223</v>
      </c>
      <c r="E208" s="293" t="s">
        <v>879</v>
      </c>
      <c r="F208" s="293" t="s">
        <v>679</v>
      </c>
      <c r="G208" s="293" t="s">
        <v>13217</v>
      </c>
      <c r="H208" s="296" t="s">
        <v>15855</v>
      </c>
      <c r="I208" s="297" t="s">
        <v>1587</v>
      </c>
      <c r="J208" s="297" t="s">
        <v>11246</v>
      </c>
      <c r="K208" s="298" t="s">
        <v>15855</v>
      </c>
      <c r="L208" s="298" t="s">
        <v>15855</v>
      </c>
      <c r="M208" s="298" t="s">
        <v>15855</v>
      </c>
      <c r="N208" s="298" t="s">
        <v>15855</v>
      </c>
      <c r="O208" s="298" t="s">
        <v>15858</v>
      </c>
      <c r="P208" s="299" t="s">
        <v>15857</v>
      </c>
      <c r="Q208" s="300" t="s">
        <v>15855</v>
      </c>
      <c r="R208" s="182" t="str">
        <f ca="1">IF(ISERROR($V208),"",OFFSET('Smelter Look-up'!$C$4,$V208-4,0)&amp;"")</f>
        <v>Istanbul Gold Refinery</v>
      </c>
      <c r="S208" s="181" t="str">
        <f t="shared" ca="1" si="29"/>
        <v>TR</v>
      </c>
      <c r="T208" s="181" t="str">
        <f ca="1">IF(B208="","",IF(ISERROR(MATCH($J208,SorP!$B$1:$B$6226,0)),"",INDIRECT("'SorP'!$A$"&amp;MATCH($S208&amp;$J208,SorP!C:C,0))))</f>
        <v>TR-34</v>
      </c>
      <c r="U208" s="201"/>
      <c r="V208" s="226">
        <f>IF(C208="",NA(),IF(OR(C208="Smelter not listed",C208="Smelter not yet identified"),MATCH($B208&amp;$D208,'Smelter Look-up'!$J:$J,0),MATCH($B208&amp;$C208,'Smelter Look-up'!$J:$J,0)))</f>
        <v>128</v>
      </c>
      <c r="X208" s="227">
        <f t="shared" si="30"/>
        <v>0</v>
      </c>
      <c r="AB208" s="228" t="str">
        <f t="shared" si="31"/>
        <v>GoldIstanbul Gold Refinery</v>
      </c>
    </row>
    <row r="209" spans="1:28" s="227" customFormat="1" ht="54">
      <c r="A209" s="301" t="s">
        <v>679</v>
      </c>
      <c r="B209" s="293" t="s">
        <v>1119</v>
      </c>
      <c r="C209" s="294" t="s">
        <v>1223</v>
      </c>
      <c r="D209" s="295" t="s">
        <v>1223</v>
      </c>
      <c r="E209" s="293" t="s">
        <v>879</v>
      </c>
      <c r="F209" s="293" t="s">
        <v>679</v>
      </c>
      <c r="G209" s="293" t="s">
        <v>13217</v>
      </c>
      <c r="H209" s="296" t="s">
        <v>15855</v>
      </c>
      <c r="I209" s="297" t="s">
        <v>1587</v>
      </c>
      <c r="J209" s="297" t="s">
        <v>11246</v>
      </c>
      <c r="K209" s="298" t="s">
        <v>16033</v>
      </c>
      <c r="L209" s="298" t="s">
        <v>16034</v>
      </c>
      <c r="M209" s="298" t="s">
        <v>16035</v>
      </c>
      <c r="N209" s="298" t="s">
        <v>15862</v>
      </c>
      <c r="O209" s="298" t="s">
        <v>15893</v>
      </c>
      <c r="P209" s="299" t="s">
        <v>15857</v>
      </c>
      <c r="Q209" s="300" t="s">
        <v>15855</v>
      </c>
      <c r="R209" s="182" t="str">
        <f ca="1">IF(ISERROR($V209),"",OFFSET('Smelter Look-up'!$C$4,$V209-4,0)&amp;"")</f>
        <v>Istanbul Gold Refinery</v>
      </c>
      <c r="S209" s="181" t="str">
        <f t="shared" ca="1" si="29"/>
        <v>TR</v>
      </c>
      <c r="T209" s="181" t="str">
        <f ca="1">IF(B209="","",IF(ISERROR(MATCH($J209,SorP!$B$1:$B$6226,0)),"",INDIRECT("'SorP'!$A$"&amp;MATCH($S209&amp;$J209,SorP!C:C,0))))</f>
        <v>TR-34</v>
      </c>
      <c r="U209" s="201"/>
      <c r="V209" s="226">
        <f>IF(C209="",NA(),IF(OR(C209="Smelter not listed",C209="Smelter not yet identified"),MATCH($B209&amp;$D209,'Smelter Look-up'!$J:$J,0),MATCH($B209&amp;$C209,'Smelter Look-up'!$J:$J,0)))</f>
        <v>128</v>
      </c>
      <c r="X209" s="227">
        <f t="shared" si="30"/>
        <v>0</v>
      </c>
      <c r="AB209" s="228" t="str">
        <f t="shared" si="31"/>
        <v>GoldIstanbul Gold Refinery</v>
      </c>
    </row>
    <row r="210" spans="1:28" s="227" customFormat="1" ht="27">
      <c r="A210" s="301" t="s">
        <v>2486</v>
      </c>
      <c r="B210" s="293" t="s">
        <v>1119</v>
      </c>
      <c r="C210" s="294" t="s">
        <v>2485</v>
      </c>
      <c r="D210" s="295" t="s">
        <v>2485</v>
      </c>
      <c r="E210" s="293" t="s">
        <v>1097</v>
      </c>
      <c r="F210" s="293" t="s">
        <v>2486</v>
      </c>
      <c r="G210" s="293" t="s">
        <v>13217</v>
      </c>
      <c r="H210" s="296" t="s">
        <v>15855</v>
      </c>
      <c r="I210" s="297" t="s">
        <v>1562</v>
      </c>
      <c r="J210" s="297" t="s">
        <v>6448</v>
      </c>
      <c r="K210" s="298" t="s">
        <v>15855</v>
      </c>
      <c r="L210" s="298" t="s">
        <v>15855</v>
      </c>
      <c r="M210" s="298" t="s">
        <v>15855</v>
      </c>
      <c r="N210" s="298" t="s">
        <v>15855</v>
      </c>
      <c r="O210" s="298" t="s">
        <v>15855</v>
      </c>
      <c r="P210" s="299" t="s">
        <v>15857</v>
      </c>
      <c r="Q210" s="300" t="s">
        <v>15855</v>
      </c>
      <c r="R210" s="182" t="str">
        <f ca="1">IF(ISERROR($V210),"",OFFSET('Smelter Look-up'!$C$4,$V210-4,0)&amp;"")</f>
        <v>Italpreziosi</v>
      </c>
      <c r="S210" s="181" t="str">
        <f t="shared" ca="1" si="29"/>
        <v>IT</v>
      </c>
      <c r="T210" s="181" t="str">
        <f ca="1">IF(B210="","",IF(ISERROR(MATCH($J210,SorP!$B$1:$B$6226,0)),"",INDIRECT("'SorP'!$A$"&amp;MATCH($S210&amp;$J210,SorP!C:C,0))))</f>
        <v>IT-52</v>
      </c>
      <c r="U210" s="201"/>
      <c r="V210" s="226">
        <f>IF(C210="",NA(),IF(OR(C210="Smelter not listed",C210="Smelter not yet identified"),MATCH($B210&amp;$D210,'Smelter Look-up'!$J:$J,0),MATCH($B210&amp;$C210,'Smelter Look-up'!$J:$J,0)))</f>
        <v>129</v>
      </c>
      <c r="X210" s="227">
        <f t="shared" si="30"/>
        <v>0</v>
      </c>
      <c r="AB210" s="228" t="str">
        <f t="shared" si="31"/>
        <v>GoldItalpreziosi</v>
      </c>
    </row>
    <row r="211" spans="1:28" s="227" customFormat="1" ht="27">
      <c r="A211" s="301" t="s">
        <v>2486</v>
      </c>
      <c r="B211" s="293" t="s">
        <v>1119</v>
      </c>
      <c r="C211" s="294" t="s">
        <v>2485</v>
      </c>
      <c r="D211" s="295" t="s">
        <v>2485</v>
      </c>
      <c r="E211" s="293" t="s">
        <v>1097</v>
      </c>
      <c r="F211" s="293" t="s">
        <v>2486</v>
      </c>
      <c r="G211" s="293" t="s">
        <v>13217</v>
      </c>
      <c r="H211" s="296" t="s">
        <v>15855</v>
      </c>
      <c r="I211" s="297" t="s">
        <v>1562</v>
      </c>
      <c r="J211" s="297" t="s">
        <v>6448</v>
      </c>
      <c r="K211" s="298" t="s">
        <v>15855</v>
      </c>
      <c r="L211" s="298" t="s">
        <v>15855</v>
      </c>
      <c r="M211" s="298" t="s">
        <v>15855</v>
      </c>
      <c r="N211" s="298" t="s">
        <v>15855</v>
      </c>
      <c r="O211" s="298" t="s">
        <v>15858</v>
      </c>
      <c r="P211" s="299" t="s">
        <v>15857</v>
      </c>
      <c r="Q211" s="300" t="s">
        <v>15855</v>
      </c>
      <c r="R211" s="182" t="str">
        <f ca="1">IF(ISERROR($V211),"",OFFSET('Smelter Look-up'!$C$4,$V211-4,0)&amp;"")</f>
        <v>Italpreziosi</v>
      </c>
      <c r="S211" s="181" t="str">
        <f t="shared" ca="1" si="29"/>
        <v>IT</v>
      </c>
      <c r="T211" s="181" t="str">
        <f ca="1">IF(B211="","",IF(ISERROR(MATCH($J211,SorP!$B$1:$B$6226,0)),"",INDIRECT("'SorP'!$A$"&amp;MATCH($S211&amp;$J211,SorP!C:C,0))))</f>
        <v>IT-52</v>
      </c>
      <c r="U211" s="201"/>
      <c r="V211" s="226">
        <f>IF(C211="",NA(),IF(OR(C211="Smelter not listed",C211="Smelter not yet identified"),MATCH($B211&amp;$D211,'Smelter Look-up'!$J:$J,0),MATCH($B211&amp;$C211,'Smelter Look-up'!$J:$J,0)))</f>
        <v>129</v>
      </c>
      <c r="X211" s="227">
        <f t="shared" si="30"/>
        <v>0</v>
      </c>
      <c r="AB211" s="228" t="str">
        <f t="shared" si="31"/>
        <v>GoldItalpreziosi</v>
      </c>
    </row>
    <row r="212" spans="1:28" s="227" customFormat="1" ht="27">
      <c r="A212" s="301" t="s">
        <v>2486</v>
      </c>
      <c r="B212" s="293" t="s">
        <v>1119</v>
      </c>
      <c r="C212" s="294" t="s">
        <v>2485</v>
      </c>
      <c r="D212" s="295" t="s">
        <v>2485</v>
      </c>
      <c r="E212" s="293" t="s">
        <v>1097</v>
      </c>
      <c r="F212" s="293" t="s">
        <v>2486</v>
      </c>
      <c r="G212" s="293" t="s">
        <v>13217</v>
      </c>
      <c r="H212" s="296" t="s">
        <v>15855</v>
      </c>
      <c r="I212" s="297" t="s">
        <v>1562</v>
      </c>
      <c r="J212" s="297" t="s">
        <v>6448</v>
      </c>
      <c r="K212" s="298" t="s">
        <v>16036</v>
      </c>
      <c r="L212" s="298" t="s">
        <v>16037</v>
      </c>
      <c r="M212" s="298" t="s">
        <v>16038</v>
      </c>
      <c r="N212" s="298" t="s">
        <v>15862</v>
      </c>
      <c r="O212" s="298" t="s">
        <v>15901</v>
      </c>
      <c r="P212" s="299" t="s">
        <v>15857</v>
      </c>
      <c r="Q212" s="300" t="s">
        <v>15855</v>
      </c>
      <c r="R212" s="182" t="str">
        <f ca="1">IF(ISERROR($V212),"",OFFSET('Smelter Look-up'!$C$4,$V212-4,0)&amp;"")</f>
        <v>Italpreziosi</v>
      </c>
      <c r="S212" s="181" t="str">
        <f t="shared" ca="1" si="29"/>
        <v>IT</v>
      </c>
      <c r="T212" s="181" t="str">
        <f ca="1">IF(B212="","",IF(ISERROR(MATCH($J212,SorP!$B$1:$B$6226,0)),"",INDIRECT("'SorP'!$A$"&amp;MATCH($S212&amp;$J212,SorP!C:C,0))))</f>
        <v>IT-52</v>
      </c>
      <c r="U212" s="201"/>
      <c r="V212" s="226">
        <f>IF(C212="",NA(),IF(OR(C212="Smelter not listed",C212="Smelter not yet identified"),MATCH($B212&amp;$D212,'Smelter Look-up'!$J:$J,0),MATCH($B212&amp;$C212,'Smelter Look-up'!$J:$J,0)))</f>
        <v>129</v>
      </c>
      <c r="X212" s="227">
        <f t="shared" si="30"/>
        <v>0</v>
      </c>
      <c r="AB212" s="228" t="str">
        <f t="shared" si="31"/>
        <v>GoldItalpreziosi</v>
      </c>
    </row>
    <row r="213" spans="1:28" s="227" customFormat="1" ht="54">
      <c r="A213" s="301" t="s">
        <v>13837</v>
      </c>
      <c r="B213" s="293" t="s">
        <v>1119</v>
      </c>
      <c r="C213" s="294" t="s">
        <v>13822</v>
      </c>
      <c r="D213" s="295" t="s">
        <v>13822</v>
      </c>
      <c r="E213" s="293" t="s">
        <v>1096</v>
      </c>
      <c r="F213" s="293" t="s">
        <v>13837</v>
      </c>
      <c r="G213" s="293" t="s">
        <v>13217</v>
      </c>
      <c r="H213" s="296" t="s">
        <v>15855</v>
      </c>
      <c r="I213" s="297" t="s">
        <v>13849</v>
      </c>
      <c r="J213" s="297" t="s">
        <v>6180</v>
      </c>
      <c r="K213" s="298" t="s">
        <v>15855</v>
      </c>
      <c r="L213" s="298" t="s">
        <v>15855</v>
      </c>
      <c r="M213" s="298" t="s">
        <v>15855</v>
      </c>
      <c r="N213" s="298" t="s">
        <v>15855</v>
      </c>
      <c r="O213" s="298" t="s">
        <v>15858</v>
      </c>
      <c r="P213" s="299" t="s">
        <v>15857</v>
      </c>
      <c r="Q213" s="300" t="s">
        <v>15855</v>
      </c>
      <c r="R213" s="182" t="str">
        <f ca="1">IF(ISERROR($V213),"",OFFSET('Smelter Look-up'!$C$4,$V213-4,0)&amp;"")</f>
        <v>JALAN &amp; Company</v>
      </c>
      <c r="S213" s="181" t="str">
        <f t="shared" ca="1" si="29"/>
        <v>IN</v>
      </c>
      <c r="T213" s="181" t="str">
        <f ca="1">IF(B213="","",IF(ISERROR(MATCH($J213,SorP!$B$1:$B$6226,0)),"",INDIRECT("'SorP'!$A$"&amp;MATCH($S213&amp;$J213,SorP!C:C,0))))</f>
        <v>IN-DL</v>
      </c>
      <c r="U213" s="201"/>
      <c r="V213" s="226">
        <f>IF(C213="",NA(),IF(OR(C213="Smelter not listed",C213="Smelter not yet identified"),MATCH($B213&amp;$D213,'Smelter Look-up'!$J:$J,0),MATCH($B213&amp;$C213,'Smelter Look-up'!$J:$J,0)))</f>
        <v>130</v>
      </c>
      <c r="X213" s="227">
        <f t="shared" si="30"/>
        <v>0</v>
      </c>
      <c r="AB213" s="228" t="str">
        <f t="shared" si="31"/>
        <v>GoldJALAN &amp; Company</v>
      </c>
    </row>
    <row r="214" spans="1:28" s="227" customFormat="1" ht="27">
      <c r="A214" s="301" t="s">
        <v>680</v>
      </c>
      <c r="B214" s="293" t="s">
        <v>1119</v>
      </c>
      <c r="C214" s="294" t="s">
        <v>898</v>
      </c>
      <c r="D214" s="295" t="s">
        <v>898</v>
      </c>
      <c r="E214" s="293" t="s">
        <v>1098</v>
      </c>
      <c r="F214" s="293" t="s">
        <v>680</v>
      </c>
      <c r="G214" s="293" t="s">
        <v>13217</v>
      </c>
      <c r="H214" s="296" t="s">
        <v>15855</v>
      </c>
      <c r="I214" s="297" t="s">
        <v>1588</v>
      </c>
      <c r="J214" s="297" t="s">
        <v>1588</v>
      </c>
      <c r="K214" s="298" t="s">
        <v>15855</v>
      </c>
      <c r="L214" s="298" t="s">
        <v>15855</v>
      </c>
      <c r="M214" s="298" t="s">
        <v>15855</v>
      </c>
      <c r="N214" s="298" t="s">
        <v>15855</v>
      </c>
      <c r="O214" s="298" t="s">
        <v>15855</v>
      </c>
      <c r="P214" s="299" t="s">
        <v>15857</v>
      </c>
      <c r="Q214" s="300" t="s">
        <v>15855</v>
      </c>
      <c r="R214" s="182" t="str">
        <f ca="1">IF(ISERROR($V214),"",OFFSET('Smelter Look-up'!$C$4,$V214-4,0)&amp;"")</f>
        <v>Japan Mint</v>
      </c>
      <c r="S214" s="181" t="str">
        <f t="shared" ca="1" si="29"/>
        <v>JP</v>
      </c>
      <c r="T214" s="181" t="str">
        <f ca="1">IF(B214="","",IF(ISERROR(MATCH($J214,SorP!$B$1:$B$6226,0)),"",INDIRECT("'SorP'!$A$"&amp;MATCH($S214&amp;$J214,SorP!C:C,0))))</f>
        <v>JP-27</v>
      </c>
      <c r="U214" s="201"/>
      <c r="V214" s="226">
        <f>IF(C214="",NA(),IF(OR(C214="Smelter not listed",C214="Smelter not yet identified"),MATCH($B214&amp;$D214,'Smelter Look-up'!$J:$J,0),MATCH($B214&amp;$C214,'Smelter Look-up'!$J:$J,0)))</f>
        <v>131</v>
      </c>
      <c r="X214" s="227">
        <f t="shared" si="30"/>
        <v>0</v>
      </c>
      <c r="AB214" s="228" t="str">
        <f t="shared" si="31"/>
        <v>GoldJapan Mint</v>
      </c>
    </row>
    <row r="215" spans="1:28" s="227" customFormat="1" ht="27">
      <c r="A215" s="301" t="s">
        <v>680</v>
      </c>
      <c r="B215" s="293" t="s">
        <v>1119</v>
      </c>
      <c r="C215" s="294" t="s">
        <v>898</v>
      </c>
      <c r="D215" s="295" t="s">
        <v>898</v>
      </c>
      <c r="E215" s="293" t="s">
        <v>1098</v>
      </c>
      <c r="F215" s="293" t="s">
        <v>680</v>
      </c>
      <c r="G215" s="293" t="s">
        <v>13217</v>
      </c>
      <c r="H215" s="296" t="s">
        <v>15855</v>
      </c>
      <c r="I215" s="297" t="s">
        <v>1588</v>
      </c>
      <c r="J215" s="297" t="s">
        <v>1588</v>
      </c>
      <c r="K215" s="298" t="s">
        <v>15855</v>
      </c>
      <c r="L215" s="298" t="s">
        <v>15855</v>
      </c>
      <c r="M215" s="298" t="s">
        <v>15855</v>
      </c>
      <c r="N215" s="298" t="s">
        <v>15855</v>
      </c>
      <c r="O215" s="298" t="s">
        <v>15858</v>
      </c>
      <c r="P215" s="299" t="s">
        <v>15857</v>
      </c>
      <c r="Q215" s="300" t="s">
        <v>15855</v>
      </c>
      <c r="R215" s="182" t="str">
        <f ca="1">IF(ISERROR($V215),"",OFFSET('Smelter Look-up'!$C$4,$V215-4,0)&amp;"")</f>
        <v>Japan Mint</v>
      </c>
      <c r="S215" s="181" t="str">
        <f t="shared" ca="1" si="29"/>
        <v>JP</v>
      </c>
      <c r="T215" s="181" t="str">
        <f ca="1">IF(B215="","",IF(ISERROR(MATCH($J215,SorP!$B$1:$B$6226,0)),"",INDIRECT("'SorP'!$A$"&amp;MATCH($S215&amp;$J215,SorP!C:C,0))))</f>
        <v>JP-27</v>
      </c>
      <c r="U215" s="201"/>
      <c r="V215" s="226">
        <f>IF(C215="",NA(),IF(OR(C215="Smelter not listed",C215="Smelter not yet identified"),MATCH($B215&amp;$D215,'Smelter Look-up'!$J:$J,0),MATCH($B215&amp;$C215,'Smelter Look-up'!$J:$J,0)))</f>
        <v>131</v>
      </c>
      <c r="X215" s="227">
        <f t="shared" si="30"/>
        <v>0</v>
      </c>
      <c r="AB215" s="228" t="str">
        <f t="shared" si="31"/>
        <v>GoldJapan Mint</v>
      </c>
    </row>
    <row r="216" spans="1:28" s="227" customFormat="1" ht="27">
      <c r="A216" s="301" t="s">
        <v>680</v>
      </c>
      <c r="B216" s="293" t="s">
        <v>1119</v>
      </c>
      <c r="C216" s="294" t="s">
        <v>898</v>
      </c>
      <c r="D216" s="295" t="s">
        <v>898</v>
      </c>
      <c r="E216" s="293" t="s">
        <v>1098</v>
      </c>
      <c r="F216" s="293" t="s">
        <v>680</v>
      </c>
      <c r="G216" s="293" t="s">
        <v>13217</v>
      </c>
      <c r="H216" s="296" t="s">
        <v>15855</v>
      </c>
      <c r="I216" s="297" t="s">
        <v>1588</v>
      </c>
      <c r="J216" s="297" t="s">
        <v>1588</v>
      </c>
      <c r="K216" s="298" t="s">
        <v>15855</v>
      </c>
      <c r="L216" s="298" t="s">
        <v>16039</v>
      </c>
      <c r="M216" s="298" t="s">
        <v>16040</v>
      </c>
      <c r="N216" s="298" t="s">
        <v>15862</v>
      </c>
      <c r="O216" s="298" t="s">
        <v>15893</v>
      </c>
      <c r="P216" s="299" t="s">
        <v>15857</v>
      </c>
      <c r="Q216" s="300" t="s">
        <v>15855</v>
      </c>
      <c r="R216" s="182" t="str">
        <f ca="1">IF(ISERROR($V216),"",OFFSET('Smelter Look-up'!$C$4,$V216-4,0)&amp;"")</f>
        <v>Japan Mint</v>
      </c>
      <c r="S216" s="181" t="str">
        <f t="shared" ca="1" si="29"/>
        <v>JP</v>
      </c>
      <c r="T216" s="181" t="str">
        <f ca="1">IF(B216="","",IF(ISERROR(MATCH($J216,SorP!$B$1:$B$6226,0)),"",INDIRECT("'SorP'!$A$"&amp;MATCH($S216&amp;$J216,SorP!C:C,0))))</f>
        <v>JP-27</v>
      </c>
      <c r="U216" s="201"/>
      <c r="V216" s="226">
        <f>IF(C216="",NA(),IF(OR(C216="Smelter not listed",C216="Smelter not yet identified"),MATCH($B216&amp;$D216,'Smelter Look-up'!$J:$J,0),MATCH($B216&amp;$C216,'Smelter Look-up'!$J:$J,0)))</f>
        <v>131</v>
      </c>
      <c r="X216" s="227">
        <f t="shared" si="30"/>
        <v>0</v>
      </c>
      <c r="AB216" s="228" t="str">
        <f t="shared" si="31"/>
        <v>GoldJapan Mint</v>
      </c>
    </row>
    <row r="217" spans="1:28" s="227" customFormat="1" ht="20">
      <c r="A217" s="301" t="s">
        <v>681</v>
      </c>
      <c r="B217" s="293" t="s">
        <v>1119</v>
      </c>
      <c r="C217" s="294" t="s">
        <v>1590</v>
      </c>
      <c r="D217" s="295" t="s">
        <v>2282</v>
      </c>
      <c r="E217" s="293" t="s">
        <v>1090</v>
      </c>
      <c r="F217" s="293" t="s">
        <v>681</v>
      </c>
      <c r="G217" s="293" t="s">
        <v>13217</v>
      </c>
      <c r="H217" s="296" t="s">
        <v>15855</v>
      </c>
      <c r="I217" s="297" t="s">
        <v>1589</v>
      </c>
      <c r="J217" s="297" t="s">
        <v>13596</v>
      </c>
      <c r="K217" s="298" t="s">
        <v>15855</v>
      </c>
      <c r="L217" s="298" t="s">
        <v>15855</v>
      </c>
      <c r="M217" s="298" t="s">
        <v>15855</v>
      </c>
      <c r="N217" s="298" t="s">
        <v>15855</v>
      </c>
      <c r="O217" s="298" t="s">
        <v>15855</v>
      </c>
      <c r="P217" s="299" t="s">
        <v>15857</v>
      </c>
      <c r="Q217" s="300" t="s">
        <v>15855</v>
      </c>
      <c r="R217" s="182" t="str">
        <f ca="1">IF(ISERROR($V217),"",OFFSET('Smelter Look-up'!$C$4,$V217-4,0)&amp;"")</f>
        <v>Jiangxi Copper Co., Ltd.</v>
      </c>
      <c r="S217" s="181" t="str">
        <f t="shared" ca="1" si="29"/>
        <v>CN</v>
      </c>
      <c r="T217" s="181" t="str">
        <f ca="1">IF(B217="","",IF(ISERROR(MATCH($J217,SorP!$B$1:$B$6226,0)),"",INDIRECT("'SorP'!$A$"&amp;MATCH($S217&amp;$J217,SorP!C:C,0))))</f>
        <v>CN-JX</v>
      </c>
      <c r="U217" s="201"/>
      <c r="V217" s="226">
        <f>IF(C217="",NA(),IF(OR(C217="Smelter not listed",C217="Smelter not yet identified"),MATCH($B217&amp;$D217,'Smelter Look-up'!$J:$J,0),MATCH($B217&amp;$C217,'Smelter Look-up'!$J:$J,0)))</f>
        <v>132</v>
      </c>
      <c r="X217" s="227">
        <f t="shared" si="30"/>
        <v>0</v>
      </c>
      <c r="AB217" s="228" t="str">
        <f t="shared" si="31"/>
        <v>GoldJCC</v>
      </c>
    </row>
    <row r="218" spans="1:28" s="227" customFormat="1" ht="54">
      <c r="A218" s="301" t="s">
        <v>681</v>
      </c>
      <c r="B218" s="293" t="s">
        <v>1119</v>
      </c>
      <c r="C218" s="294" t="s">
        <v>2282</v>
      </c>
      <c r="D218" s="295" t="s">
        <v>2282</v>
      </c>
      <c r="E218" s="293" t="s">
        <v>1090</v>
      </c>
      <c r="F218" s="293" t="s">
        <v>681</v>
      </c>
      <c r="G218" s="293" t="s">
        <v>13217</v>
      </c>
      <c r="H218" s="296" t="s">
        <v>15855</v>
      </c>
      <c r="I218" s="297" t="s">
        <v>1589</v>
      </c>
      <c r="J218" s="297" t="s">
        <v>13596</v>
      </c>
      <c r="K218" s="298" t="s">
        <v>15855</v>
      </c>
      <c r="L218" s="298" t="s">
        <v>15855</v>
      </c>
      <c r="M218" s="298" t="s">
        <v>15855</v>
      </c>
      <c r="N218" s="298" t="s">
        <v>15855</v>
      </c>
      <c r="O218" s="298" t="s">
        <v>15855</v>
      </c>
      <c r="P218" s="299" t="s">
        <v>15857</v>
      </c>
      <c r="Q218" s="300" t="s">
        <v>15855</v>
      </c>
      <c r="R218" s="182" t="str">
        <f ca="1">IF(ISERROR($V218),"",OFFSET('Smelter Look-up'!$C$4,$V218-4,0)&amp;"")</f>
        <v>Jiangxi Copper Co., Ltd.</v>
      </c>
      <c r="S218" s="181" t="str">
        <f t="shared" ca="1" si="29"/>
        <v>CN</v>
      </c>
      <c r="T218" s="181" t="str">
        <f ca="1">IF(B218="","",IF(ISERROR(MATCH($J218,SorP!$B$1:$B$6226,0)),"",INDIRECT("'SorP'!$A$"&amp;MATCH($S218&amp;$J218,SorP!C:C,0))))</f>
        <v>CN-JX</v>
      </c>
      <c r="U218" s="201"/>
      <c r="V218" s="226">
        <f>IF(C218="",NA(),IF(OR(C218="Smelter not listed",C218="Smelter not yet identified"),MATCH($B218&amp;$D218,'Smelter Look-up'!$J:$J,0),MATCH($B218&amp;$C218,'Smelter Look-up'!$J:$J,0)))</f>
        <v>133</v>
      </c>
      <c r="X218" s="227">
        <f t="shared" si="30"/>
        <v>0</v>
      </c>
      <c r="AB218" s="228" t="str">
        <f t="shared" si="31"/>
        <v>GoldJiangxi Copper Co., Ltd.</v>
      </c>
    </row>
    <row r="219" spans="1:28" s="227" customFormat="1" ht="54">
      <c r="A219" s="301" t="s">
        <v>681</v>
      </c>
      <c r="B219" s="293" t="s">
        <v>1119</v>
      </c>
      <c r="C219" s="294" t="s">
        <v>2282</v>
      </c>
      <c r="D219" s="295" t="s">
        <v>2282</v>
      </c>
      <c r="E219" s="293" t="s">
        <v>1090</v>
      </c>
      <c r="F219" s="293" t="s">
        <v>681</v>
      </c>
      <c r="G219" s="293" t="s">
        <v>13217</v>
      </c>
      <c r="H219" s="296" t="s">
        <v>15855</v>
      </c>
      <c r="I219" s="297" t="s">
        <v>1589</v>
      </c>
      <c r="J219" s="297" t="s">
        <v>13596</v>
      </c>
      <c r="K219" s="298" t="s">
        <v>15855</v>
      </c>
      <c r="L219" s="298" t="s">
        <v>15855</v>
      </c>
      <c r="M219" s="298" t="s">
        <v>15855</v>
      </c>
      <c r="N219" s="298" t="s">
        <v>15855</v>
      </c>
      <c r="O219" s="298" t="s">
        <v>15858</v>
      </c>
      <c r="P219" s="299" t="s">
        <v>15857</v>
      </c>
      <c r="Q219" s="300" t="s">
        <v>15855</v>
      </c>
      <c r="R219" s="182" t="str">
        <f ca="1">IF(ISERROR($V219),"",OFFSET('Smelter Look-up'!$C$4,$V219-4,0)&amp;"")</f>
        <v>Jiangxi Copper Co., Ltd.</v>
      </c>
      <c r="S219" s="181" t="str">
        <f t="shared" ca="1" si="29"/>
        <v>CN</v>
      </c>
      <c r="T219" s="181" t="str">
        <f ca="1">IF(B219="","",IF(ISERROR(MATCH($J219,SorP!$B$1:$B$6226,0)),"",INDIRECT("'SorP'!$A$"&amp;MATCH($S219&amp;$J219,SorP!C:C,0))))</f>
        <v>CN-JX</v>
      </c>
      <c r="U219" s="201"/>
      <c r="V219" s="226">
        <f>IF(C219="",NA(),IF(OR(C219="Smelter not listed",C219="Smelter not yet identified"),MATCH($B219&amp;$D219,'Smelter Look-up'!$J:$J,0),MATCH($B219&amp;$C219,'Smelter Look-up'!$J:$J,0)))</f>
        <v>133</v>
      </c>
      <c r="X219" s="227">
        <f t="shared" si="30"/>
        <v>0</v>
      </c>
      <c r="AB219" s="228" t="str">
        <f t="shared" si="31"/>
        <v>GoldJiangxi Copper Co., Ltd.</v>
      </c>
    </row>
    <row r="220" spans="1:28" s="227" customFormat="1" ht="54">
      <c r="A220" s="301" t="s">
        <v>681</v>
      </c>
      <c r="B220" s="293" t="s">
        <v>1119</v>
      </c>
      <c r="C220" s="294" t="s">
        <v>2282</v>
      </c>
      <c r="D220" s="295" t="s">
        <v>2282</v>
      </c>
      <c r="E220" s="293" t="s">
        <v>1090</v>
      </c>
      <c r="F220" s="293" t="s">
        <v>681</v>
      </c>
      <c r="G220" s="293" t="s">
        <v>13217</v>
      </c>
      <c r="H220" s="296" t="s">
        <v>15855</v>
      </c>
      <c r="I220" s="297" t="s">
        <v>1589</v>
      </c>
      <c r="J220" s="297" t="s">
        <v>13596</v>
      </c>
      <c r="K220" s="298" t="s">
        <v>16041</v>
      </c>
      <c r="L220" s="298" t="s">
        <v>16042</v>
      </c>
      <c r="M220" s="298" t="s">
        <v>16043</v>
      </c>
      <c r="N220" s="298" t="s">
        <v>15862</v>
      </c>
      <c r="O220" s="298" t="s">
        <v>15893</v>
      </c>
      <c r="P220" s="299" t="s">
        <v>15857</v>
      </c>
      <c r="Q220" s="300" t="s">
        <v>15855</v>
      </c>
      <c r="R220" s="182" t="str">
        <f ca="1">IF(ISERROR($V220),"",OFFSET('Smelter Look-up'!$C$4,$V220-4,0)&amp;"")</f>
        <v>Jiangxi Copper Co., Ltd.</v>
      </c>
      <c r="S220" s="181" t="str">
        <f t="shared" ca="1" si="29"/>
        <v>CN</v>
      </c>
      <c r="T220" s="181" t="str">
        <f ca="1">IF(B220="","",IF(ISERROR(MATCH($J220,SorP!$B$1:$B$6226,0)),"",INDIRECT("'SorP'!$A$"&amp;MATCH($S220&amp;$J220,SorP!C:C,0))))</f>
        <v>CN-JX</v>
      </c>
      <c r="U220" s="201"/>
      <c r="V220" s="226">
        <f>IF(C220="",NA(),IF(OR(C220="Smelter not listed",C220="Smelter not yet identified"),MATCH($B220&amp;$D220,'Smelter Look-up'!$J:$J,0),MATCH($B220&amp;$C220,'Smelter Look-up'!$J:$J,0)))</f>
        <v>133</v>
      </c>
      <c r="X220" s="227">
        <f t="shared" si="30"/>
        <v>0</v>
      </c>
      <c r="AB220" s="228" t="str">
        <f t="shared" si="31"/>
        <v>GoldJiangxi Copper Co., Ltd.</v>
      </c>
    </row>
    <row r="221" spans="1:28" s="227" customFormat="1" ht="108">
      <c r="A221" s="301" t="s">
        <v>684</v>
      </c>
      <c r="B221" s="293" t="s">
        <v>1119</v>
      </c>
      <c r="C221" s="294" t="s">
        <v>899</v>
      </c>
      <c r="D221" s="295" t="s">
        <v>899</v>
      </c>
      <c r="E221" s="293" t="s">
        <v>873</v>
      </c>
      <c r="F221" s="293" t="s">
        <v>684</v>
      </c>
      <c r="G221" s="293" t="s">
        <v>13217</v>
      </c>
      <c r="H221" s="296" t="s">
        <v>15855</v>
      </c>
      <c r="I221" s="297" t="s">
        <v>1596</v>
      </c>
      <c r="J221" s="297" t="s">
        <v>9921</v>
      </c>
      <c r="K221" s="298" t="s">
        <v>15855</v>
      </c>
      <c r="L221" s="298" t="s">
        <v>15855</v>
      </c>
      <c r="M221" s="298" t="s">
        <v>15855</v>
      </c>
      <c r="N221" s="298" t="s">
        <v>15855</v>
      </c>
      <c r="O221" s="298" t="s">
        <v>15858</v>
      </c>
      <c r="P221" s="299" t="s">
        <v>15857</v>
      </c>
      <c r="Q221" s="300" t="s">
        <v>15855</v>
      </c>
      <c r="R221" s="182" t="str">
        <f ca="1">IF(ISERROR($V221),"",OFFSET('Smelter Look-up'!$C$4,$V221-4,0)&amp;"")</f>
        <v>JSC Ekaterinburg Non-Ferrous Metal Processing Plant</v>
      </c>
      <c r="S221" s="181" t="str">
        <f t="shared" ca="1" si="29"/>
        <v>RU</v>
      </c>
      <c r="T221" s="181" t="str">
        <f ca="1">IF(B221="","",IF(ISERROR(MATCH($J221,SorP!$B$1:$B$6226,0)),"",INDIRECT("'SorP'!$A$"&amp;MATCH($S221&amp;$J221,SorP!C:C,0))))</f>
        <v>RU-SVE</v>
      </c>
      <c r="U221" s="201"/>
      <c r="V221" s="226">
        <f>IF(C221="",NA(),IF(OR(C221="Smelter not listed",C221="Smelter not yet identified"),MATCH($B221&amp;$D221,'Smelter Look-up'!$J:$J,0),MATCH($B221&amp;$C221,'Smelter Look-up'!$J:$J,0)))</f>
        <v>138</v>
      </c>
      <c r="X221" s="227">
        <f t="shared" si="30"/>
        <v>0</v>
      </c>
      <c r="AB221" s="228" t="str">
        <f t="shared" si="31"/>
        <v>GoldJSC Ekaterinburg Non-Ferrous Metal Processing Plant</v>
      </c>
    </row>
    <row r="222" spans="1:28" s="227" customFormat="1" ht="40.5">
      <c r="A222" s="301" t="s">
        <v>685</v>
      </c>
      <c r="B222" s="293" t="s">
        <v>1119</v>
      </c>
      <c r="C222" s="294" t="s">
        <v>1395</v>
      </c>
      <c r="D222" s="295" t="s">
        <v>1395</v>
      </c>
      <c r="E222" s="293" t="s">
        <v>873</v>
      </c>
      <c r="F222" s="293" t="s">
        <v>685</v>
      </c>
      <c r="G222" s="293" t="s">
        <v>13217</v>
      </c>
      <c r="H222" s="296" t="s">
        <v>15855</v>
      </c>
      <c r="I222" s="297" t="s">
        <v>1596</v>
      </c>
      <c r="J222" s="297" t="s">
        <v>9921</v>
      </c>
      <c r="K222" s="298" t="s">
        <v>15855</v>
      </c>
      <c r="L222" s="298" t="s">
        <v>15855</v>
      </c>
      <c r="M222" s="298" t="s">
        <v>15855</v>
      </c>
      <c r="N222" s="298" t="s">
        <v>15855</v>
      </c>
      <c r="O222" s="298" t="s">
        <v>15858</v>
      </c>
      <c r="P222" s="299" t="s">
        <v>15857</v>
      </c>
      <c r="Q222" s="300" t="s">
        <v>15855</v>
      </c>
      <c r="R222" s="182" t="str">
        <f ca="1">IF(ISERROR($V222),"",OFFSET('Smelter Look-up'!$C$4,$V222-4,0)&amp;"")</f>
        <v>JSC Uralelectromed</v>
      </c>
      <c r="S222" s="181" t="str">
        <f t="shared" ca="1" si="29"/>
        <v>RU</v>
      </c>
      <c r="T222" s="181" t="str">
        <f ca="1">IF(B222="","",IF(ISERROR(MATCH($J222,SorP!$B$1:$B$6226,0)),"",INDIRECT("'SorP'!$A$"&amp;MATCH($S222&amp;$J222,SorP!C:C,0))))</f>
        <v>RU-SVE</v>
      </c>
      <c r="U222" s="201"/>
      <c r="V222" s="226">
        <f>IF(C222="",NA(),IF(OR(C222="Smelter not listed",C222="Smelter not yet identified"),MATCH($B222&amp;$D222,'Smelter Look-up'!$J:$J,0),MATCH($B222&amp;$C222,'Smelter Look-up'!$J:$J,0)))</f>
        <v>140</v>
      </c>
      <c r="X222" s="227">
        <f t="shared" si="30"/>
        <v>0</v>
      </c>
      <c r="AB222" s="228" t="str">
        <f t="shared" si="31"/>
        <v>GoldJSC Uralelectromed</v>
      </c>
    </row>
    <row r="223" spans="1:28" s="227" customFormat="1" ht="67.5">
      <c r="A223" s="301" t="s">
        <v>686</v>
      </c>
      <c r="B223" s="293" t="s">
        <v>1119</v>
      </c>
      <c r="C223" s="294" t="s">
        <v>53</v>
      </c>
      <c r="D223" s="295" t="s">
        <v>53</v>
      </c>
      <c r="E223" s="293" t="s">
        <v>1098</v>
      </c>
      <c r="F223" s="293" t="s">
        <v>686</v>
      </c>
      <c r="G223" s="293" t="s">
        <v>13217</v>
      </c>
      <c r="H223" s="296" t="s">
        <v>15855</v>
      </c>
      <c r="I223" s="297" t="s">
        <v>2345</v>
      </c>
      <c r="J223" s="297" t="s">
        <v>6642</v>
      </c>
      <c r="K223" s="298" t="s">
        <v>15855</v>
      </c>
      <c r="L223" s="298" t="s">
        <v>15855</v>
      </c>
      <c r="M223" s="298" t="s">
        <v>15855</v>
      </c>
      <c r="N223" s="298" t="s">
        <v>15855</v>
      </c>
      <c r="O223" s="298" t="s">
        <v>15855</v>
      </c>
      <c r="P223" s="299" t="s">
        <v>15857</v>
      </c>
      <c r="Q223" s="300" t="s">
        <v>15855</v>
      </c>
      <c r="R223" s="182" t="str">
        <f ca="1">IF(ISERROR($V223),"",OFFSET('Smelter Look-up'!$C$4,$V223-4,0)&amp;"")</f>
        <v>JX Nippon Mining &amp; Metals Co., Ltd.</v>
      </c>
      <c r="S223" s="181" t="str">
        <f t="shared" ca="1" si="29"/>
        <v>JP</v>
      </c>
      <c r="T223" s="181" t="str">
        <f ca="1">IF(B223="","",IF(ISERROR(MATCH($J223,SorP!$B$1:$B$6226,0)),"",INDIRECT("'SorP'!$A$"&amp;MATCH($S223&amp;$J223,SorP!C:C,0))))</f>
        <v>JP-44</v>
      </c>
      <c r="U223" s="201"/>
      <c r="V223" s="226">
        <f>IF(C223="",NA(),IF(OR(C223="Smelter not listed",C223="Smelter not yet identified"),MATCH($B223&amp;$D223,'Smelter Look-up'!$J:$J,0),MATCH($B223&amp;$C223,'Smelter Look-up'!$J:$J,0)))</f>
        <v>141</v>
      </c>
      <c r="X223" s="227">
        <f t="shared" si="30"/>
        <v>0</v>
      </c>
      <c r="AB223" s="228" t="str">
        <f t="shared" si="31"/>
        <v>GoldJX Nippon Mining &amp; Metals Co., Ltd.</v>
      </c>
    </row>
    <row r="224" spans="1:28" s="227" customFormat="1" ht="67.5">
      <c r="A224" s="301" t="s">
        <v>686</v>
      </c>
      <c r="B224" s="293" t="s">
        <v>1119</v>
      </c>
      <c r="C224" s="294" t="s">
        <v>53</v>
      </c>
      <c r="D224" s="295" t="s">
        <v>53</v>
      </c>
      <c r="E224" s="293" t="s">
        <v>1098</v>
      </c>
      <c r="F224" s="293" t="s">
        <v>686</v>
      </c>
      <c r="G224" s="293" t="s">
        <v>13217</v>
      </c>
      <c r="H224" s="296" t="s">
        <v>15855</v>
      </c>
      <c r="I224" s="297" t="s">
        <v>2345</v>
      </c>
      <c r="J224" s="297" t="s">
        <v>6642</v>
      </c>
      <c r="K224" s="298" t="s">
        <v>15855</v>
      </c>
      <c r="L224" s="298" t="s">
        <v>15855</v>
      </c>
      <c r="M224" s="298" t="s">
        <v>15855</v>
      </c>
      <c r="N224" s="298" t="s">
        <v>15855</v>
      </c>
      <c r="O224" s="298" t="s">
        <v>15855</v>
      </c>
      <c r="P224" s="299" t="s">
        <v>15857</v>
      </c>
      <c r="Q224" s="300" t="s">
        <v>15907</v>
      </c>
      <c r="R224" s="182" t="str">
        <f ca="1">IF(ISERROR($V224),"",OFFSET('Smelter Look-up'!$C$4,$V224-4,0)&amp;"")</f>
        <v>JX Nippon Mining &amp; Metals Co., Ltd.</v>
      </c>
      <c r="S224" s="181" t="str">
        <f t="shared" ca="1" si="29"/>
        <v>JP</v>
      </c>
      <c r="T224" s="181" t="str">
        <f ca="1">IF(B224="","",IF(ISERROR(MATCH($J224,SorP!$B$1:$B$6226,0)),"",INDIRECT("'SorP'!$A$"&amp;MATCH($S224&amp;$J224,SorP!C:C,0))))</f>
        <v>JP-44</v>
      </c>
      <c r="U224" s="201"/>
      <c r="V224" s="226">
        <f>IF(C224="",NA(),IF(OR(C224="Smelter not listed",C224="Smelter not yet identified"),MATCH($B224&amp;$D224,'Smelter Look-up'!$J:$J,0),MATCH($B224&amp;$C224,'Smelter Look-up'!$J:$J,0)))</f>
        <v>141</v>
      </c>
      <c r="X224" s="227">
        <f t="shared" si="30"/>
        <v>0</v>
      </c>
      <c r="AB224" s="228" t="str">
        <f t="shared" si="31"/>
        <v>GoldJX Nippon Mining &amp; Metals Co., Ltd.</v>
      </c>
    </row>
    <row r="225" spans="1:28" s="227" customFormat="1" ht="67.5">
      <c r="A225" s="301" t="s">
        <v>686</v>
      </c>
      <c r="B225" s="293" t="s">
        <v>1119</v>
      </c>
      <c r="C225" s="294" t="s">
        <v>53</v>
      </c>
      <c r="D225" s="295" t="s">
        <v>53</v>
      </c>
      <c r="E225" s="293" t="s">
        <v>1098</v>
      </c>
      <c r="F225" s="293" t="s">
        <v>686</v>
      </c>
      <c r="G225" s="293" t="s">
        <v>13217</v>
      </c>
      <c r="H225" s="296" t="s">
        <v>15855</v>
      </c>
      <c r="I225" s="297" t="s">
        <v>2345</v>
      </c>
      <c r="J225" s="297" t="s">
        <v>6642</v>
      </c>
      <c r="K225" s="298" t="s">
        <v>15855</v>
      </c>
      <c r="L225" s="298" t="s">
        <v>15855</v>
      </c>
      <c r="M225" s="298" t="s">
        <v>15855</v>
      </c>
      <c r="N225" s="298" t="s">
        <v>15855</v>
      </c>
      <c r="O225" s="298" t="s">
        <v>15855</v>
      </c>
      <c r="P225" s="299" t="s">
        <v>15875</v>
      </c>
      <c r="Q225" s="300" t="s">
        <v>15855</v>
      </c>
      <c r="R225" s="182" t="str">
        <f ca="1">IF(ISERROR($V225),"",OFFSET('Smelter Look-up'!$C$4,$V225-4,0)&amp;"")</f>
        <v>JX Nippon Mining &amp; Metals Co., Ltd.</v>
      </c>
      <c r="S225" s="181" t="str">
        <f t="shared" ca="1" si="29"/>
        <v>JP</v>
      </c>
      <c r="T225" s="181" t="str">
        <f ca="1">IF(B225="","",IF(ISERROR(MATCH($J225,SorP!$B$1:$B$6226,0)),"",INDIRECT("'SorP'!$A$"&amp;MATCH($S225&amp;$J225,SorP!C:C,0))))</f>
        <v>JP-44</v>
      </c>
      <c r="U225" s="201"/>
      <c r="V225" s="226">
        <f>IF(C225="",NA(),IF(OR(C225="Smelter not listed",C225="Smelter not yet identified"),MATCH($B225&amp;$D225,'Smelter Look-up'!$J:$J,0),MATCH($B225&amp;$C225,'Smelter Look-up'!$J:$J,0)))</f>
        <v>141</v>
      </c>
      <c r="X225" s="227">
        <f t="shared" si="30"/>
        <v>0</v>
      </c>
      <c r="AB225" s="228" t="str">
        <f t="shared" si="31"/>
        <v>GoldJX Nippon Mining &amp; Metals Co., Ltd.</v>
      </c>
    </row>
    <row r="226" spans="1:28" s="227" customFormat="1" ht="67.5">
      <c r="A226" s="301" t="s">
        <v>686</v>
      </c>
      <c r="B226" s="293" t="s">
        <v>1119</v>
      </c>
      <c r="C226" s="294" t="s">
        <v>53</v>
      </c>
      <c r="D226" s="295" t="s">
        <v>53</v>
      </c>
      <c r="E226" s="293" t="s">
        <v>1098</v>
      </c>
      <c r="F226" s="293" t="s">
        <v>686</v>
      </c>
      <c r="G226" s="293" t="s">
        <v>13217</v>
      </c>
      <c r="H226" s="296" t="s">
        <v>15855</v>
      </c>
      <c r="I226" s="297" t="s">
        <v>2345</v>
      </c>
      <c r="J226" s="297" t="s">
        <v>6642</v>
      </c>
      <c r="K226" s="298" t="s">
        <v>15855</v>
      </c>
      <c r="L226" s="298" t="s">
        <v>15855</v>
      </c>
      <c r="M226" s="298" t="s">
        <v>15855</v>
      </c>
      <c r="N226" s="298" t="s">
        <v>15855</v>
      </c>
      <c r="O226" s="298" t="s">
        <v>16044</v>
      </c>
      <c r="P226" s="299" t="s">
        <v>15857</v>
      </c>
      <c r="Q226" s="300" t="s">
        <v>15855</v>
      </c>
      <c r="R226" s="182" t="str">
        <f ca="1">IF(ISERROR($V226),"",OFFSET('Smelter Look-up'!$C$4,$V226-4,0)&amp;"")</f>
        <v>JX Nippon Mining &amp; Metals Co., Ltd.</v>
      </c>
      <c r="S226" s="181" t="str">
        <f t="shared" ca="1" si="29"/>
        <v>JP</v>
      </c>
      <c r="T226" s="181" t="str">
        <f ca="1">IF(B226="","",IF(ISERROR(MATCH($J226,SorP!$B$1:$B$6226,0)),"",INDIRECT("'SorP'!$A$"&amp;MATCH($S226&amp;$J226,SorP!C:C,0))))</f>
        <v>JP-44</v>
      </c>
      <c r="U226" s="201"/>
      <c r="V226" s="226">
        <f>IF(C226="",NA(),IF(OR(C226="Smelter not listed",C226="Smelter not yet identified"),MATCH($B226&amp;$D226,'Smelter Look-up'!$J:$J,0),MATCH($B226&amp;$C226,'Smelter Look-up'!$J:$J,0)))</f>
        <v>141</v>
      </c>
      <c r="X226" s="227">
        <f t="shared" si="30"/>
        <v>0</v>
      </c>
      <c r="AB226" s="228" t="str">
        <f t="shared" si="31"/>
        <v>GoldJX Nippon Mining &amp; Metals Co., Ltd.</v>
      </c>
    </row>
    <row r="227" spans="1:28" s="227" customFormat="1" ht="67.5">
      <c r="A227" s="301" t="s">
        <v>686</v>
      </c>
      <c r="B227" s="293" t="s">
        <v>1119</v>
      </c>
      <c r="C227" s="294" t="s">
        <v>53</v>
      </c>
      <c r="D227" s="295" t="s">
        <v>53</v>
      </c>
      <c r="E227" s="293" t="s">
        <v>1098</v>
      </c>
      <c r="F227" s="293" t="s">
        <v>686</v>
      </c>
      <c r="G227" s="293" t="s">
        <v>13217</v>
      </c>
      <c r="H227" s="296" t="s">
        <v>15855</v>
      </c>
      <c r="I227" s="297" t="s">
        <v>2345</v>
      </c>
      <c r="J227" s="297" t="s">
        <v>6642</v>
      </c>
      <c r="K227" s="298" t="s">
        <v>15855</v>
      </c>
      <c r="L227" s="298" t="s">
        <v>15855</v>
      </c>
      <c r="M227" s="298" t="s">
        <v>15855</v>
      </c>
      <c r="N227" s="298" t="s">
        <v>16045</v>
      </c>
      <c r="O227" s="298" t="s">
        <v>16046</v>
      </c>
      <c r="P227" s="299" t="s">
        <v>15857</v>
      </c>
      <c r="Q227" s="300" t="s">
        <v>16047</v>
      </c>
      <c r="R227" s="182" t="str">
        <f ca="1">IF(ISERROR($V227),"",OFFSET('Smelter Look-up'!$C$4,$V227-4,0)&amp;"")</f>
        <v>JX Nippon Mining &amp; Metals Co., Ltd.</v>
      </c>
      <c r="S227" s="181" t="str">
        <f t="shared" ca="1" si="29"/>
        <v>JP</v>
      </c>
      <c r="T227" s="181" t="str">
        <f ca="1">IF(B227="","",IF(ISERROR(MATCH($J227,SorP!$B$1:$B$6226,0)),"",INDIRECT("'SorP'!$A$"&amp;MATCH($S227&amp;$J227,SorP!C:C,0))))</f>
        <v>JP-44</v>
      </c>
      <c r="U227" s="201"/>
      <c r="V227" s="226">
        <f>IF(C227="",NA(),IF(OR(C227="Smelter not listed",C227="Smelter not yet identified"),MATCH($B227&amp;$D227,'Smelter Look-up'!$J:$J,0),MATCH($B227&amp;$C227,'Smelter Look-up'!$J:$J,0)))</f>
        <v>141</v>
      </c>
      <c r="X227" s="227">
        <f t="shared" si="30"/>
        <v>0</v>
      </c>
      <c r="AB227" s="228" t="str">
        <f t="shared" si="31"/>
        <v>GoldJX Nippon Mining &amp; Metals Co., Ltd.</v>
      </c>
    </row>
    <row r="228" spans="1:28" s="227" customFormat="1" ht="67.5">
      <c r="A228" s="301" t="s">
        <v>686</v>
      </c>
      <c r="B228" s="293" t="s">
        <v>1119</v>
      </c>
      <c r="C228" s="294" t="s">
        <v>53</v>
      </c>
      <c r="D228" s="295" t="s">
        <v>53</v>
      </c>
      <c r="E228" s="293" t="s">
        <v>1098</v>
      </c>
      <c r="F228" s="293" t="s">
        <v>686</v>
      </c>
      <c r="G228" s="293" t="s">
        <v>13217</v>
      </c>
      <c r="H228" s="296" t="s">
        <v>15855</v>
      </c>
      <c r="I228" s="297" t="s">
        <v>2345</v>
      </c>
      <c r="J228" s="297" t="s">
        <v>6642</v>
      </c>
      <c r="K228" s="298" t="s">
        <v>16048</v>
      </c>
      <c r="L228" s="298" t="s">
        <v>16049</v>
      </c>
      <c r="M228" s="298" t="s">
        <v>16050</v>
      </c>
      <c r="N228" s="298" t="s">
        <v>16051</v>
      </c>
      <c r="O228" s="298" t="s">
        <v>16052</v>
      </c>
      <c r="P228" s="299" t="s">
        <v>15857</v>
      </c>
      <c r="Q228" s="300" t="s">
        <v>15855</v>
      </c>
      <c r="R228" s="182" t="str">
        <f ca="1">IF(ISERROR($V228),"",OFFSET('Smelter Look-up'!$C$4,$V228-4,0)&amp;"")</f>
        <v>JX Nippon Mining &amp; Metals Co., Ltd.</v>
      </c>
      <c r="S228" s="181" t="str">
        <f t="shared" ca="1" si="29"/>
        <v>JP</v>
      </c>
      <c r="T228" s="181" t="str">
        <f ca="1">IF(B228="","",IF(ISERROR(MATCH($J228,SorP!$B$1:$B$6226,0)),"",INDIRECT("'SorP'!$A$"&amp;MATCH($S228&amp;$J228,SorP!C:C,0))))</f>
        <v>JP-44</v>
      </c>
      <c r="U228" s="201"/>
      <c r="V228" s="226">
        <f>IF(C228="",NA(),IF(OR(C228="Smelter not listed",C228="Smelter not yet identified"),MATCH($B228&amp;$D228,'Smelter Look-up'!$J:$J,0),MATCH($B228&amp;$C228,'Smelter Look-up'!$J:$J,0)))</f>
        <v>141</v>
      </c>
      <c r="X228" s="227">
        <f t="shared" si="30"/>
        <v>0</v>
      </c>
      <c r="AB228" s="228" t="str">
        <f t="shared" si="31"/>
        <v>GoldJX Nippon Mining &amp; Metals Co., Ltd.</v>
      </c>
    </row>
    <row r="229" spans="1:28" s="227" customFormat="1" ht="67.5">
      <c r="A229" s="301" t="s">
        <v>686</v>
      </c>
      <c r="B229" s="293" t="s">
        <v>1119</v>
      </c>
      <c r="C229" s="294" t="s">
        <v>53</v>
      </c>
      <c r="D229" s="295" t="s">
        <v>53</v>
      </c>
      <c r="E229" s="293" t="s">
        <v>1098</v>
      </c>
      <c r="F229" s="293" t="s">
        <v>686</v>
      </c>
      <c r="G229" s="293" t="s">
        <v>13217</v>
      </c>
      <c r="H229" s="302" t="s">
        <v>15880</v>
      </c>
      <c r="I229" s="297" t="s">
        <v>2345</v>
      </c>
      <c r="J229" s="297" t="s">
        <v>6642</v>
      </c>
      <c r="K229" s="298" t="s">
        <v>15855</v>
      </c>
      <c r="L229" s="298" t="s">
        <v>15855</v>
      </c>
      <c r="M229" s="298" t="s">
        <v>15855</v>
      </c>
      <c r="N229" s="298" t="s">
        <v>15855</v>
      </c>
      <c r="O229" s="298" t="s">
        <v>15855</v>
      </c>
      <c r="P229" s="299" t="s">
        <v>15857</v>
      </c>
      <c r="Q229" s="300" t="s">
        <v>15855</v>
      </c>
      <c r="R229" s="182" t="str">
        <f ca="1">IF(ISERROR($V229),"",OFFSET('Smelter Look-up'!$C$4,$V229-4,0)&amp;"")</f>
        <v>JX Nippon Mining &amp; Metals Co., Ltd.</v>
      </c>
      <c r="S229" s="181" t="str">
        <f t="shared" ca="1" si="29"/>
        <v>JP</v>
      </c>
      <c r="T229" s="181" t="str">
        <f ca="1">IF(B229="","",IF(ISERROR(MATCH($J229,SorP!$B$1:$B$6226,0)),"",INDIRECT("'SorP'!$A$"&amp;MATCH($S229&amp;$J229,SorP!C:C,0))))</f>
        <v>JP-44</v>
      </c>
      <c r="U229" s="201"/>
      <c r="V229" s="226">
        <f>IF(C229="",NA(),IF(OR(C229="Smelter not listed",C229="Smelter not yet identified"),MATCH($B229&amp;$D229,'Smelter Look-up'!$J:$J,0),MATCH($B229&amp;$C229,'Smelter Look-up'!$J:$J,0)))</f>
        <v>141</v>
      </c>
      <c r="X229" s="227">
        <f t="shared" si="30"/>
        <v>0</v>
      </c>
      <c r="AB229" s="228" t="str">
        <f t="shared" si="31"/>
        <v>GoldJX Nippon Mining &amp; Metals Co., Ltd.</v>
      </c>
    </row>
    <row r="230" spans="1:28" s="227" customFormat="1" ht="67.5">
      <c r="A230" s="301" t="s">
        <v>686</v>
      </c>
      <c r="B230" s="293" t="s">
        <v>1119</v>
      </c>
      <c r="C230" s="294" t="s">
        <v>53</v>
      </c>
      <c r="D230" s="295" t="s">
        <v>53</v>
      </c>
      <c r="E230" s="293" t="s">
        <v>1098</v>
      </c>
      <c r="F230" s="293" t="s">
        <v>686</v>
      </c>
      <c r="G230" s="293" t="s">
        <v>13217</v>
      </c>
      <c r="H230" s="302" t="s">
        <v>15880</v>
      </c>
      <c r="I230" s="297" t="s">
        <v>2345</v>
      </c>
      <c r="J230" s="297" t="s">
        <v>6642</v>
      </c>
      <c r="K230" s="298" t="s">
        <v>15855</v>
      </c>
      <c r="L230" s="298" t="s">
        <v>15855</v>
      </c>
      <c r="M230" s="298" t="s">
        <v>15855</v>
      </c>
      <c r="N230" s="298" t="s">
        <v>15855</v>
      </c>
      <c r="O230" s="298" t="s">
        <v>15855</v>
      </c>
      <c r="P230" s="299" t="s">
        <v>15857</v>
      </c>
      <c r="Q230" s="300" t="s">
        <v>16032</v>
      </c>
      <c r="R230" s="182" t="str">
        <f ca="1">IF(ISERROR($V230),"",OFFSET('Smelter Look-up'!$C$4,$V230-4,0)&amp;"")</f>
        <v>JX Nippon Mining &amp; Metals Co., Ltd.</v>
      </c>
      <c r="S230" s="181" t="str">
        <f t="shared" ref="S230:S260" ca="1" si="32">IF(B230="","",IF(ISERROR(MATCH($E230,CL,0)),"Unknown",INDIRECT("'C'!$A$"&amp;MATCH($E230,CL,0)+1)))</f>
        <v>JP</v>
      </c>
      <c r="T230" s="181" t="str">
        <f ca="1">IF(B230="","",IF(ISERROR(MATCH($J230,SorP!$B$1:$B$6226,0)),"",INDIRECT("'SorP'!$A$"&amp;MATCH($S230&amp;$J230,SorP!C:C,0))))</f>
        <v>JP-44</v>
      </c>
      <c r="U230" s="201"/>
      <c r="V230" s="226">
        <f>IF(C230="",NA(),IF(OR(C230="Smelter not listed",C230="Smelter not yet identified"),MATCH($B230&amp;$D230,'Smelter Look-up'!$J:$J,0),MATCH($B230&amp;$C230,'Smelter Look-up'!$J:$J,0)))</f>
        <v>141</v>
      </c>
      <c r="X230" s="227">
        <f t="shared" ref="X230:X260" si="33">IF(AND(C230="Smelter not listed",OR(LEN(D230)=0,LEN(E230)=0)),1,0)</f>
        <v>0</v>
      </c>
      <c r="AB230" s="228" t="str">
        <f t="shared" ref="AB230:AB260" si="34">B230&amp;C230</f>
        <v>GoldJX Nippon Mining &amp; Metals Co., Ltd.</v>
      </c>
    </row>
    <row r="231" spans="1:28" s="227" customFormat="1" ht="67.5">
      <c r="A231" s="301" t="s">
        <v>686</v>
      </c>
      <c r="B231" s="293" t="s">
        <v>1119</v>
      </c>
      <c r="C231" s="294" t="s">
        <v>53</v>
      </c>
      <c r="D231" s="295" t="s">
        <v>53</v>
      </c>
      <c r="E231" s="293" t="s">
        <v>1098</v>
      </c>
      <c r="F231" s="293" t="s">
        <v>686</v>
      </c>
      <c r="G231" s="293" t="s">
        <v>13217</v>
      </c>
      <c r="H231" s="302" t="s">
        <v>15880</v>
      </c>
      <c r="I231" s="297" t="s">
        <v>2345</v>
      </c>
      <c r="J231" s="297" t="s">
        <v>6642</v>
      </c>
      <c r="K231" s="298" t="s">
        <v>15855</v>
      </c>
      <c r="L231" s="298" t="s">
        <v>15855</v>
      </c>
      <c r="M231" s="298" t="s">
        <v>15855</v>
      </c>
      <c r="N231" s="298" t="s">
        <v>15855</v>
      </c>
      <c r="O231" s="298" t="s">
        <v>15855</v>
      </c>
      <c r="P231" s="299" t="s">
        <v>15857</v>
      </c>
      <c r="Q231" s="300" t="s">
        <v>15912</v>
      </c>
      <c r="R231" s="182" t="str">
        <f ca="1">IF(ISERROR($V231),"",OFFSET('Smelter Look-up'!$C$4,$V231-4,0)&amp;"")</f>
        <v>JX Nippon Mining &amp; Metals Co., Ltd.</v>
      </c>
      <c r="S231" s="181" t="str">
        <f t="shared" ca="1" si="32"/>
        <v>JP</v>
      </c>
      <c r="T231" s="181" t="str">
        <f ca="1">IF(B231="","",IF(ISERROR(MATCH($J231,SorP!$B$1:$B$6226,0)),"",INDIRECT("'SorP'!$A$"&amp;MATCH($S231&amp;$J231,SorP!C:C,0))))</f>
        <v>JP-44</v>
      </c>
      <c r="U231" s="201"/>
      <c r="V231" s="226">
        <f>IF(C231="",NA(),IF(OR(C231="Smelter not listed",C231="Smelter not yet identified"),MATCH($B231&amp;$D231,'Smelter Look-up'!$J:$J,0),MATCH($B231&amp;$C231,'Smelter Look-up'!$J:$J,0)))</f>
        <v>141</v>
      </c>
      <c r="X231" s="227">
        <f t="shared" si="33"/>
        <v>0</v>
      </c>
      <c r="AB231" s="228" t="str">
        <f t="shared" si="34"/>
        <v>GoldJX Nippon Mining &amp; Metals Co., Ltd.</v>
      </c>
    </row>
    <row r="232" spans="1:28" s="227" customFormat="1" ht="67.5">
      <c r="A232" s="301" t="s">
        <v>686</v>
      </c>
      <c r="B232" s="293" t="s">
        <v>1119</v>
      </c>
      <c r="C232" s="294" t="s">
        <v>53</v>
      </c>
      <c r="D232" s="295" t="s">
        <v>53</v>
      </c>
      <c r="E232" s="293" t="s">
        <v>1098</v>
      </c>
      <c r="F232" s="293" t="s">
        <v>686</v>
      </c>
      <c r="G232" s="293" t="s">
        <v>13217</v>
      </c>
      <c r="H232" s="302" t="s">
        <v>15880</v>
      </c>
      <c r="I232" s="297" t="s">
        <v>2345</v>
      </c>
      <c r="J232" s="297" t="s">
        <v>6642</v>
      </c>
      <c r="K232" s="298" t="s">
        <v>15855</v>
      </c>
      <c r="L232" s="298" t="s">
        <v>15855</v>
      </c>
      <c r="M232" s="298" t="s">
        <v>15855</v>
      </c>
      <c r="N232" s="298" t="s">
        <v>16045</v>
      </c>
      <c r="O232" s="298" t="s">
        <v>16046</v>
      </c>
      <c r="P232" s="299" t="s">
        <v>15857</v>
      </c>
      <c r="Q232" s="300" t="s">
        <v>16047</v>
      </c>
      <c r="R232" s="182" t="str">
        <f ca="1">IF(ISERROR($V232),"",OFFSET('Smelter Look-up'!$C$4,$V232-4,0)&amp;"")</f>
        <v>JX Nippon Mining &amp; Metals Co., Ltd.</v>
      </c>
      <c r="S232" s="181" t="str">
        <f t="shared" ca="1" si="32"/>
        <v>JP</v>
      </c>
      <c r="T232" s="181" t="str">
        <f ca="1">IF(B232="","",IF(ISERROR(MATCH($J232,SorP!$B$1:$B$6226,0)),"",INDIRECT("'SorP'!$A$"&amp;MATCH($S232&amp;$J232,SorP!C:C,0))))</f>
        <v>JP-44</v>
      </c>
      <c r="U232" s="201"/>
      <c r="V232" s="226">
        <f>IF(C232="",NA(),IF(OR(C232="Smelter not listed",C232="Smelter not yet identified"),MATCH($B232&amp;$D232,'Smelter Look-up'!$J:$J,0),MATCH($B232&amp;$C232,'Smelter Look-up'!$J:$J,0)))</f>
        <v>141</v>
      </c>
      <c r="X232" s="227">
        <f t="shared" si="33"/>
        <v>0</v>
      </c>
      <c r="AB232" s="228" t="str">
        <f t="shared" si="34"/>
        <v>GoldJX Nippon Mining &amp; Metals Co., Ltd.</v>
      </c>
    </row>
    <row r="233" spans="1:28" s="227" customFormat="1" ht="67.5">
      <c r="A233" s="301" t="s">
        <v>686</v>
      </c>
      <c r="B233" s="293" t="s">
        <v>1119</v>
      </c>
      <c r="C233" s="294" t="s">
        <v>53</v>
      </c>
      <c r="D233" s="295" t="s">
        <v>53</v>
      </c>
      <c r="E233" s="293" t="s">
        <v>1098</v>
      </c>
      <c r="F233" s="293" t="s">
        <v>686</v>
      </c>
      <c r="G233" s="293" t="s">
        <v>13217</v>
      </c>
      <c r="H233" s="296" t="s">
        <v>16053</v>
      </c>
      <c r="I233" s="297" t="s">
        <v>2345</v>
      </c>
      <c r="J233" s="297" t="s">
        <v>6642</v>
      </c>
      <c r="K233" s="298" t="s">
        <v>16054</v>
      </c>
      <c r="L233" s="298" t="s">
        <v>16055</v>
      </c>
      <c r="M233" s="298" t="s">
        <v>16056</v>
      </c>
      <c r="N233" s="298" t="s">
        <v>16045</v>
      </c>
      <c r="O233" s="298" t="s">
        <v>16046</v>
      </c>
      <c r="P233" s="299" t="s">
        <v>15857</v>
      </c>
      <c r="Q233" s="300" t="s">
        <v>16057</v>
      </c>
      <c r="R233" s="182" t="str">
        <f ca="1">IF(ISERROR($V233),"",OFFSET('Smelter Look-up'!$C$4,$V233-4,0)&amp;"")</f>
        <v>JX Nippon Mining &amp; Metals Co., Ltd.</v>
      </c>
      <c r="S233" s="181" t="str">
        <f t="shared" ca="1" si="32"/>
        <v>JP</v>
      </c>
      <c r="T233" s="181" t="str">
        <f ca="1">IF(B233="","",IF(ISERROR(MATCH($J233,SorP!$B$1:$B$6226,0)),"",INDIRECT("'SorP'!$A$"&amp;MATCH($S233&amp;$J233,SorP!C:C,0))))</f>
        <v>JP-44</v>
      </c>
      <c r="U233" s="201"/>
      <c r="V233" s="226">
        <f>IF(C233="",NA(),IF(OR(C233="Smelter not listed",C233="Smelter not yet identified"),MATCH($B233&amp;$D233,'Smelter Look-up'!$J:$J,0),MATCH($B233&amp;$C233,'Smelter Look-up'!$J:$J,0)))</f>
        <v>141</v>
      </c>
      <c r="X233" s="227">
        <f t="shared" si="33"/>
        <v>0</v>
      </c>
      <c r="AB233" s="228" t="str">
        <f t="shared" si="34"/>
        <v>GoldJX Nippon Mining &amp; Metals Co., Ltd.</v>
      </c>
    </row>
    <row r="234" spans="1:28" s="227" customFormat="1" ht="40.5">
      <c r="A234" s="301" t="s">
        <v>15033</v>
      </c>
      <c r="B234" s="293" t="s">
        <v>1119</v>
      </c>
      <c r="C234" s="294" t="s">
        <v>15032</v>
      </c>
      <c r="D234" s="295" t="s">
        <v>15032</v>
      </c>
      <c r="E234" s="293" t="s">
        <v>13062</v>
      </c>
      <c r="F234" s="293" t="s">
        <v>15033</v>
      </c>
      <c r="G234" s="293" t="s">
        <v>13217</v>
      </c>
      <c r="H234" s="296" t="s">
        <v>15855</v>
      </c>
      <c r="I234" s="297" t="s">
        <v>15101</v>
      </c>
      <c r="J234" s="297" t="s">
        <v>15554</v>
      </c>
      <c r="K234" s="298" t="s">
        <v>15855</v>
      </c>
      <c r="L234" s="298" t="s">
        <v>15855</v>
      </c>
      <c r="M234" s="298" t="s">
        <v>15855</v>
      </c>
      <c r="N234" s="298" t="s">
        <v>15855</v>
      </c>
      <c r="O234" s="298" t="s">
        <v>15858</v>
      </c>
      <c r="P234" s="299" t="s">
        <v>15857</v>
      </c>
      <c r="Q234" s="300" t="s">
        <v>15855</v>
      </c>
      <c r="R234" s="182" t="str">
        <f ca="1">IF(ISERROR($V234),"",OFFSET('Smelter Look-up'!$C$4,$V234-4,0)&amp;"")</f>
        <v>K.A. Rasmussen</v>
      </c>
      <c r="S234" s="181" t="str">
        <f t="shared" ca="1" si="32"/>
        <v>NO</v>
      </c>
      <c r="T234" s="181" t="str">
        <f ca="1">IF(B234="","",IF(ISERROR(MATCH($J234,SorP!$B$1:$B$6226,0)),"",INDIRECT("'SorP'!$A$"&amp;MATCH($S234&amp;$J234,SorP!C:C,0))))</f>
        <v>NO-34</v>
      </c>
      <c r="U234" s="201"/>
      <c r="V234" s="226">
        <f>IF(C234="",NA(),IF(OR(C234="Smelter not listed",C234="Smelter not yet identified"),MATCH($B234&amp;$D234,'Smelter Look-up'!$J:$J,0),MATCH($B234&amp;$C234,'Smelter Look-up'!$J:$J,0)))</f>
        <v>142</v>
      </c>
      <c r="X234" s="227">
        <f t="shared" si="33"/>
        <v>0</v>
      </c>
      <c r="AB234" s="228" t="str">
        <f t="shared" si="34"/>
        <v>GoldK.A. Rasmussen</v>
      </c>
    </row>
    <row r="235" spans="1:28" s="227" customFormat="1" ht="54">
      <c r="A235" s="301" t="s">
        <v>1698</v>
      </c>
      <c r="B235" s="293" t="s">
        <v>1119</v>
      </c>
      <c r="C235" s="294" t="s">
        <v>1697</v>
      </c>
      <c r="D235" s="295" t="s">
        <v>1697</v>
      </c>
      <c r="E235" s="293" t="s">
        <v>1082</v>
      </c>
      <c r="F235" s="293" t="s">
        <v>1698</v>
      </c>
      <c r="G235" s="293" t="s">
        <v>13217</v>
      </c>
      <c r="H235" s="296" t="s">
        <v>15855</v>
      </c>
      <c r="I235" s="297" t="s">
        <v>1694</v>
      </c>
      <c r="J235" s="297" t="s">
        <v>2555</v>
      </c>
      <c r="K235" s="298" t="s">
        <v>15855</v>
      </c>
      <c r="L235" s="298" t="s">
        <v>15855</v>
      </c>
      <c r="M235" s="298" t="s">
        <v>15855</v>
      </c>
      <c r="N235" s="298" t="s">
        <v>15855</v>
      </c>
      <c r="O235" s="298" t="s">
        <v>15858</v>
      </c>
      <c r="P235" s="299" t="s">
        <v>15857</v>
      </c>
      <c r="Q235" s="300" t="s">
        <v>15855</v>
      </c>
      <c r="R235" s="182" t="str">
        <f ca="1">IF(ISERROR($V235),"",OFFSET('Smelter Look-up'!$C$4,$V235-4,0)&amp;"")</f>
        <v>Kaloti Precious Metals</v>
      </c>
      <c r="S235" s="181" t="str">
        <f t="shared" ca="1" si="32"/>
        <v>AE</v>
      </c>
      <c r="T235" s="181" t="str">
        <f ca="1">IF(B235="","",IF(ISERROR(MATCH($J235,SorP!$B$1:$B$6226,0)),"",INDIRECT("'SorP'!$A$"&amp;MATCH($S235&amp;$J235,SorP!C:C,0))))</f>
        <v>AE-DU</v>
      </c>
      <c r="U235" s="201"/>
      <c r="V235" s="226">
        <f>IF(C235="",NA(),IF(OR(C235="Smelter not listed",C235="Smelter not yet identified"),MATCH($B235&amp;$D235,'Smelter Look-up'!$J:$J,0),MATCH($B235&amp;$C235,'Smelter Look-up'!$J:$J,0)))</f>
        <v>143</v>
      </c>
      <c r="X235" s="227">
        <f t="shared" si="33"/>
        <v>0</v>
      </c>
      <c r="AB235" s="228" t="str">
        <f t="shared" si="34"/>
        <v>GoldKaloti Precious Metals</v>
      </c>
    </row>
    <row r="236" spans="1:28" s="227" customFormat="1" ht="54">
      <c r="A236" s="301" t="s">
        <v>2179</v>
      </c>
      <c r="B236" s="293" t="s">
        <v>1119</v>
      </c>
      <c r="C236" s="294" t="s">
        <v>2178</v>
      </c>
      <c r="D236" s="295" t="s">
        <v>2178</v>
      </c>
      <c r="E236" s="293" t="s">
        <v>1099</v>
      </c>
      <c r="F236" s="293" t="s">
        <v>2179</v>
      </c>
      <c r="G236" s="293" t="s">
        <v>13217</v>
      </c>
      <c r="H236" s="296" t="s">
        <v>15855</v>
      </c>
      <c r="I236" s="297" t="s">
        <v>2180</v>
      </c>
      <c r="J236" s="297" t="s">
        <v>7036</v>
      </c>
      <c r="K236" s="298" t="s">
        <v>15855</v>
      </c>
      <c r="L236" s="298" t="s">
        <v>15855</v>
      </c>
      <c r="M236" s="298" t="s">
        <v>15855</v>
      </c>
      <c r="N236" s="298" t="s">
        <v>15855</v>
      </c>
      <c r="O236" s="298" t="s">
        <v>15858</v>
      </c>
      <c r="P236" s="299" t="s">
        <v>15857</v>
      </c>
      <c r="Q236" s="300" t="s">
        <v>15855</v>
      </c>
      <c r="R236" s="182" t="str">
        <f ca="1">IF(ISERROR($V236),"",OFFSET('Smelter Look-up'!$C$4,$V236-4,0)&amp;"")</f>
        <v>Kazakhmys Smelting LLC</v>
      </c>
      <c r="S236" s="181" t="str">
        <f t="shared" ca="1" si="32"/>
        <v>KZ</v>
      </c>
      <c r="T236" s="181" t="str">
        <f ca="1">IF(B236="","",IF(ISERROR(MATCH($J236,SorP!$B$1:$B$6226,0)),"",INDIRECT("'SorP'!$A$"&amp;MATCH($S236&amp;$J236,SorP!C:C,0))))</f>
        <v>KZ-KAR</v>
      </c>
      <c r="U236" s="201"/>
      <c r="V236" s="226">
        <f>IF(C236="",NA(),IF(OR(C236="Smelter not listed",C236="Smelter not yet identified"),MATCH($B236&amp;$D236,'Smelter Look-up'!$J:$J,0),MATCH($B236&amp;$C236,'Smelter Look-up'!$J:$J,0)))</f>
        <v>144</v>
      </c>
      <c r="X236" s="227">
        <f t="shared" si="33"/>
        <v>0</v>
      </c>
      <c r="AB236" s="228" t="str">
        <f t="shared" si="34"/>
        <v>GoldKazakhmys Smelting LLC</v>
      </c>
    </row>
    <row r="237" spans="1:28" s="227" customFormat="1" ht="27">
      <c r="A237" s="301" t="s">
        <v>687</v>
      </c>
      <c r="B237" s="293" t="s">
        <v>1119</v>
      </c>
      <c r="C237" s="294" t="s">
        <v>1597</v>
      </c>
      <c r="D237" s="295" t="s">
        <v>1597</v>
      </c>
      <c r="E237" s="293" t="s">
        <v>1099</v>
      </c>
      <c r="F237" s="293" t="s">
        <v>687</v>
      </c>
      <c r="G237" s="293" t="s">
        <v>13217</v>
      </c>
      <c r="H237" s="296" t="s">
        <v>15855</v>
      </c>
      <c r="I237" s="297" t="s">
        <v>1598</v>
      </c>
      <c r="J237" s="297" t="s">
        <v>7036</v>
      </c>
      <c r="K237" s="298" t="s">
        <v>15855</v>
      </c>
      <c r="L237" s="298" t="s">
        <v>15855</v>
      </c>
      <c r="M237" s="298" t="s">
        <v>15855</v>
      </c>
      <c r="N237" s="298" t="s">
        <v>15855</v>
      </c>
      <c r="O237" s="298" t="s">
        <v>15855</v>
      </c>
      <c r="P237" s="299" t="s">
        <v>15857</v>
      </c>
      <c r="Q237" s="300" t="s">
        <v>15855</v>
      </c>
      <c r="R237" s="182" t="str">
        <f ca="1">IF(ISERROR($V237),"",OFFSET('Smelter Look-up'!$C$4,$V237-4,0)&amp;"")</f>
        <v>Kazzinc</v>
      </c>
      <c r="S237" s="181" t="str">
        <f t="shared" ca="1" si="32"/>
        <v>KZ</v>
      </c>
      <c r="T237" s="181" t="str">
        <f ca="1">IF(B237="","",IF(ISERROR(MATCH($J237,SorP!$B$1:$B$6226,0)),"",INDIRECT("'SorP'!$A$"&amp;MATCH($S237&amp;$J237,SorP!C:C,0))))</f>
        <v>KZ-KAR</v>
      </c>
      <c r="U237" s="201"/>
      <c r="V237" s="226">
        <f>IF(C237="",NA(),IF(OR(C237="Smelter not listed",C237="Smelter not yet identified"),MATCH($B237&amp;$D237,'Smelter Look-up'!$J:$J,0),MATCH($B237&amp;$C237,'Smelter Look-up'!$J:$J,0)))</f>
        <v>145</v>
      </c>
      <c r="X237" s="227">
        <f t="shared" si="33"/>
        <v>0</v>
      </c>
      <c r="AB237" s="228" t="str">
        <f t="shared" si="34"/>
        <v>GoldKazzinc</v>
      </c>
    </row>
    <row r="238" spans="1:28" s="227" customFormat="1" ht="27">
      <c r="A238" s="301" t="s">
        <v>687</v>
      </c>
      <c r="B238" s="293" t="s">
        <v>1119</v>
      </c>
      <c r="C238" s="294" t="s">
        <v>1597</v>
      </c>
      <c r="D238" s="295" t="s">
        <v>1597</v>
      </c>
      <c r="E238" s="293" t="s">
        <v>1099</v>
      </c>
      <c r="F238" s="293" t="s">
        <v>687</v>
      </c>
      <c r="G238" s="293" t="s">
        <v>13217</v>
      </c>
      <c r="H238" s="296" t="s">
        <v>15855</v>
      </c>
      <c r="I238" s="297" t="s">
        <v>1598</v>
      </c>
      <c r="J238" s="297" t="s">
        <v>7036</v>
      </c>
      <c r="K238" s="298" t="s">
        <v>15855</v>
      </c>
      <c r="L238" s="298" t="s">
        <v>15855</v>
      </c>
      <c r="M238" s="298" t="s">
        <v>15855</v>
      </c>
      <c r="N238" s="298" t="s">
        <v>15855</v>
      </c>
      <c r="O238" s="298" t="s">
        <v>15858</v>
      </c>
      <c r="P238" s="299" t="s">
        <v>15857</v>
      </c>
      <c r="Q238" s="300" t="s">
        <v>15855</v>
      </c>
      <c r="R238" s="182" t="str">
        <f ca="1">IF(ISERROR($V238),"",OFFSET('Smelter Look-up'!$C$4,$V238-4,0)&amp;"")</f>
        <v>Kazzinc</v>
      </c>
      <c r="S238" s="181" t="str">
        <f t="shared" ca="1" si="32"/>
        <v>KZ</v>
      </c>
      <c r="T238" s="181" t="str">
        <f ca="1">IF(B238="","",IF(ISERROR(MATCH($J238,SorP!$B$1:$B$6226,0)),"",INDIRECT("'SorP'!$A$"&amp;MATCH($S238&amp;$J238,SorP!C:C,0))))</f>
        <v>KZ-KAR</v>
      </c>
      <c r="U238" s="201"/>
      <c r="V238" s="226">
        <f>IF(C238="",NA(),IF(OR(C238="Smelter not listed",C238="Smelter not yet identified"),MATCH($B238&amp;$D238,'Smelter Look-up'!$J:$J,0),MATCH($B238&amp;$C238,'Smelter Look-up'!$J:$J,0)))</f>
        <v>145</v>
      </c>
      <c r="X238" s="227">
        <f t="shared" si="33"/>
        <v>0</v>
      </c>
      <c r="AB238" s="228" t="str">
        <f t="shared" si="34"/>
        <v>GoldKazzinc</v>
      </c>
    </row>
    <row r="239" spans="1:28" s="227" customFormat="1" ht="27">
      <c r="A239" s="301" t="s">
        <v>687</v>
      </c>
      <c r="B239" s="293" t="s">
        <v>1119</v>
      </c>
      <c r="C239" s="294" t="s">
        <v>1597</v>
      </c>
      <c r="D239" s="295" t="s">
        <v>1597</v>
      </c>
      <c r="E239" s="293" t="s">
        <v>1099</v>
      </c>
      <c r="F239" s="293" t="s">
        <v>687</v>
      </c>
      <c r="G239" s="293" t="s">
        <v>13217</v>
      </c>
      <c r="H239" s="296" t="s">
        <v>15855</v>
      </c>
      <c r="I239" s="297" t="s">
        <v>1598</v>
      </c>
      <c r="J239" s="297" t="s">
        <v>7036</v>
      </c>
      <c r="K239" s="298" t="s">
        <v>15855</v>
      </c>
      <c r="L239" s="298" t="s">
        <v>16058</v>
      </c>
      <c r="M239" s="298" t="s">
        <v>16059</v>
      </c>
      <c r="N239" s="298" t="s">
        <v>15862</v>
      </c>
      <c r="O239" s="298" t="s">
        <v>15893</v>
      </c>
      <c r="P239" s="299" t="s">
        <v>15857</v>
      </c>
      <c r="Q239" s="300" t="s">
        <v>15855</v>
      </c>
      <c r="R239" s="182" t="str">
        <f ca="1">IF(ISERROR($V239),"",OFFSET('Smelter Look-up'!$C$4,$V239-4,0)&amp;"")</f>
        <v>Kazzinc</v>
      </c>
      <c r="S239" s="181" t="str">
        <f t="shared" ca="1" si="32"/>
        <v>KZ</v>
      </c>
      <c r="T239" s="181" t="str">
        <f ca="1">IF(B239="","",IF(ISERROR(MATCH($J239,SorP!$B$1:$B$6226,0)),"",INDIRECT("'SorP'!$A$"&amp;MATCH($S239&amp;$J239,SorP!C:C,0))))</f>
        <v>KZ-KAR</v>
      </c>
      <c r="U239" s="201"/>
      <c r="V239" s="226">
        <f>IF(C239="",NA(),IF(OR(C239="Smelter not listed",C239="Smelter not yet identified"),MATCH($B239&amp;$D239,'Smelter Look-up'!$J:$J,0),MATCH($B239&amp;$C239,'Smelter Look-up'!$J:$J,0)))</f>
        <v>145</v>
      </c>
      <c r="X239" s="227">
        <f t="shared" si="33"/>
        <v>0</v>
      </c>
      <c r="AB239" s="228" t="str">
        <f t="shared" si="34"/>
        <v>GoldKazzinc</v>
      </c>
    </row>
    <row r="240" spans="1:28" s="227" customFormat="1" ht="67.5">
      <c r="A240" s="301" t="s">
        <v>689</v>
      </c>
      <c r="B240" s="293" t="s">
        <v>1119</v>
      </c>
      <c r="C240" s="294" t="s">
        <v>688</v>
      </c>
      <c r="D240" s="295" t="s">
        <v>688</v>
      </c>
      <c r="E240" s="293" t="s">
        <v>2415</v>
      </c>
      <c r="F240" s="293" t="s">
        <v>689</v>
      </c>
      <c r="G240" s="293" t="s">
        <v>13217</v>
      </c>
      <c r="H240" s="296" t="s">
        <v>15855</v>
      </c>
      <c r="I240" s="297" t="s">
        <v>1599</v>
      </c>
      <c r="J240" s="297" t="s">
        <v>1592</v>
      </c>
      <c r="K240" s="298" t="s">
        <v>15855</v>
      </c>
      <c r="L240" s="298" t="s">
        <v>15855</v>
      </c>
      <c r="M240" s="298" t="s">
        <v>15855</v>
      </c>
      <c r="N240" s="298" t="s">
        <v>15855</v>
      </c>
      <c r="O240" s="298" t="s">
        <v>15855</v>
      </c>
      <c r="P240" s="299" t="s">
        <v>15857</v>
      </c>
      <c r="Q240" s="300" t="s">
        <v>15855</v>
      </c>
      <c r="R240" s="182" t="str">
        <f ca="1">IF(ISERROR($V240),"",OFFSET('Smelter Look-up'!$C$4,$V240-4,0)&amp;"")</f>
        <v>Kennecott Utah Copper LLC</v>
      </c>
      <c r="S240" s="181" t="str">
        <f t="shared" ca="1" si="32"/>
        <v>US</v>
      </c>
      <c r="T240" s="181" t="str">
        <f ca="1">IF(B240="","",IF(ISERROR(MATCH($J240,SorP!$B$1:$B$6226,0)),"",INDIRECT("'SorP'!$A$"&amp;MATCH($S240&amp;$J240,SorP!C:C,0))))</f>
        <v>US-UT</v>
      </c>
      <c r="U240" s="201"/>
      <c r="V240" s="226">
        <f>IF(C240="",NA(),IF(OR(C240="Smelter not listed",C240="Smelter not yet identified"),MATCH($B240&amp;$D240,'Smelter Look-up'!$J:$J,0),MATCH($B240&amp;$C240,'Smelter Look-up'!$J:$J,0)))</f>
        <v>146</v>
      </c>
      <c r="X240" s="227">
        <f t="shared" si="33"/>
        <v>0</v>
      </c>
      <c r="AB240" s="228" t="str">
        <f t="shared" si="34"/>
        <v>GoldKennecott Utah Copper LLC</v>
      </c>
    </row>
    <row r="241" spans="1:28" s="227" customFormat="1" ht="67.5">
      <c r="A241" s="301" t="s">
        <v>689</v>
      </c>
      <c r="B241" s="293" t="s">
        <v>1119</v>
      </c>
      <c r="C241" s="294" t="s">
        <v>688</v>
      </c>
      <c r="D241" s="295" t="s">
        <v>688</v>
      </c>
      <c r="E241" s="293" t="s">
        <v>2415</v>
      </c>
      <c r="F241" s="293" t="s">
        <v>689</v>
      </c>
      <c r="G241" s="293" t="s">
        <v>13217</v>
      </c>
      <c r="H241" s="296" t="s">
        <v>15855</v>
      </c>
      <c r="I241" s="297" t="s">
        <v>1599</v>
      </c>
      <c r="J241" s="297" t="s">
        <v>1592</v>
      </c>
      <c r="K241" s="298" t="s">
        <v>15855</v>
      </c>
      <c r="L241" s="298" t="s">
        <v>15855</v>
      </c>
      <c r="M241" s="298" t="s">
        <v>15855</v>
      </c>
      <c r="N241" s="298" t="s">
        <v>15855</v>
      </c>
      <c r="O241" s="298" t="s">
        <v>15858</v>
      </c>
      <c r="P241" s="299" t="s">
        <v>15857</v>
      </c>
      <c r="Q241" s="300" t="s">
        <v>15855</v>
      </c>
      <c r="R241" s="182" t="str">
        <f ca="1">IF(ISERROR($V241),"",OFFSET('Smelter Look-up'!$C$4,$V241-4,0)&amp;"")</f>
        <v>Kennecott Utah Copper LLC</v>
      </c>
      <c r="S241" s="181" t="str">
        <f t="shared" ca="1" si="32"/>
        <v>US</v>
      </c>
      <c r="T241" s="181" t="str">
        <f ca="1">IF(B241="","",IF(ISERROR(MATCH($J241,SorP!$B$1:$B$6226,0)),"",INDIRECT("'SorP'!$A$"&amp;MATCH($S241&amp;$J241,SorP!C:C,0))))</f>
        <v>US-UT</v>
      </c>
      <c r="U241" s="201"/>
      <c r="V241" s="226">
        <f>IF(C241="",NA(),IF(OR(C241="Smelter not listed",C241="Smelter not yet identified"),MATCH($B241&amp;$D241,'Smelter Look-up'!$J:$J,0),MATCH($B241&amp;$C241,'Smelter Look-up'!$J:$J,0)))</f>
        <v>146</v>
      </c>
      <c r="X241" s="227">
        <f t="shared" si="33"/>
        <v>0</v>
      </c>
      <c r="AB241" s="228" t="str">
        <f t="shared" si="34"/>
        <v>GoldKennecott Utah Copper LLC</v>
      </c>
    </row>
    <row r="242" spans="1:28" s="227" customFormat="1" ht="67.5">
      <c r="A242" s="301" t="s">
        <v>689</v>
      </c>
      <c r="B242" s="293" t="s">
        <v>1119</v>
      </c>
      <c r="C242" s="294" t="s">
        <v>688</v>
      </c>
      <c r="D242" s="295" t="s">
        <v>688</v>
      </c>
      <c r="E242" s="293" t="s">
        <v>2415</v>
      </c>
      <c r="F242" s="293" t="s">
        <v>689</v>
      </c>
      <c r="G242" s="293" t="s">
        <v>13217</v>
      </c>
      <c r="H242" s="296" t="s">
        <v>15855</v>
      </c>
      <c r="I242" s="297" t="s">
        <v>1599</v>
      </c>
      <c r="J242" s="297" t="s">
        <v>1592</v>
      </c>
      <c r="K242" s="298" t="s">
        <v>16060</v>
      </c>
      <c r="L242" s="298" t="s">
        <v>16061</v>
      </c>
      <c r="M242" s="298" t="s">
        <v>16062</v>
      </c>
      <c r="N242" s="298" t="s">
        <v>15862</v>
      </c>
      <c r="O242" s="298" t="s">
        <v>15893</v>
      </c>
      <c r="P242" s="299" t="s">
        <v>15857</v>
      </c>
      <c r="Q242" s="300" t="s">
        <v>15855</v>
      </c>
      <c r="R242" s="182" t="str">
        <f ca="1">IF(ISERROR($V242),"",OFFSET('Smelter Look-up'!$C$4,$V242-4,0)&amp;"")</f>
        <v>Kennecott Utah Copper LLC</v>
      </c>
      <c r="S242" s="181" t="str">
        <f t="shared" ca="1" si="32"/>
        <v>US</v>
      </c>
      <c r="T242" s="181" t="str">
        <f ca="1">IF(B242="","",IF(ISERROR(MATCH($J242,SorP!$B$1:$B$6226,0)),"",INDIRECT("'SorP'!$A$"&amp;MATCH($S242&amp;$J242,SorP!C:C,0))))</f>
        <v>US-UT</v>
      </c>
      <c r="U242" s="201"/>
      <c r="V242" s="226">
        <f>IF(C242="",NA(),IF(OR(C242="Smelter not listed",C242="Smelter not yet identified"),MATCH($B242&amp;$D242,'Smelter Look-up'!$J:$J,0),MATCH($B242&amp;$C242,'Smelter Look-up'!$J:$J,0)))</f>
        <v>146</v>
      </c>
      <c r="X242" s="227">
        <f t="shared" si="33"/>
        <v>0</v>
      </c>
      <c r="AB242" s="228" t="str">
        <f t="shared" si="34"/>
        <v>GoldKennecott Utah Copper LLC</v>
      </c>
    </row>
    <row r="243" spans="1:28" s="227" customFormat="1" ht="67.5">
      <c r="A243" s="301" t="s">
        <v>1377</v>
      </c>
      <c r="B243" s="293" t="s">
        <v>1119</v>
      </c>
      <c r="C243" s="294" t="s">
        <v>12684</v>
      </c>
      <c r="D243" s="295" t="s">
        <v>12684</v>
      </c>
      <c r="E243" s="293" t="s">
        <v>872</v>
      </c>
      <c r="F243" s="293" t="s">
        <v>1377</v>
      </c>
      <c r="G243" s="293" t="s">
        <v>13217</v>
      </c>
      <c r="H243" s="296" t="s">
        <v>15855</v>
      </c>
      <c r="I243" s="297" t="s">
        <v>1687</v>
      </c>
      <c r="J243" s="297" t="s">
        <v>9472</v>
      </c>
      <c r="K243" s="298" t="s">
        <v>15855</v>
      </c>
      <c r="L243" s="298" t="s">
        <v>15855</v>
      </c>
      <c r="M243" s="298" t="s">
        <v>15855</v>
      </c>
      <c r="N243" s="298" t="s">
        <v>15855</v>
      </c>
      <c r="O243" s="298" t="s">
        <v>15855</v>
      </c>
      <c r="P243" s="299" t="s">
        <v>15857</v>
      </c>
      <c r="Q243" s="300" t="s">
        <v>15855</v>
      </c>
      <c r="R243" s="182" t="str">
        <f ca="1">IF(ISERROR($V243),"",OFFSET('Smelter Look-up'!$C$4,$V243-4,0)&amp;"")</f>
        <v>KGHM Polska Miedz Spolka Akcyjna</v>
      </c>
      <c r="S243" s="181" t="str">
        <f t="shared" ca="1" si="32"/>
        <v>PL</v>
      </c>
      <c r="T243" s="181" t="str">
        <f ca="1">IF(B243="","",IF(ISERROR(MATCH($J243,SorP!$B$1:$B$6226,0)),"",INDIRECT("'SorP'!$A$"&amp;MATCH($S243&amp;$J243,SorP!C:C,0))))</f>
        <v>PL-02</v>
      </c>
      <c r="U243" s="201"/>
      <c r="V243" s="226">
        <f>IF(C243="",NA(),IF(OR(C243="Smelter not listed",C243="Smelter not yet identified"),MATCH($B243&amp;$D243,'Smelter Look-up'!$J:$J,0),MATCH($B243&amp;$C243,'Smelter Look-up'!$J:$J,0)))</f>
        <v>148</v>
      </c>
      <c r="X243" s="227">
        <f t="shared" si="33"/>
        <v>0</v>
      </c>
      <c r="AB243" s="228" t="str">
        <f t="shared" si="34"/>
        <v>GoldKGHM Polska Miedz Spolka Akcyjna</v>
      </c>
    </row>
    <row r="244" spans="1:28" s="227" customFormat="1" ht="67.5">
      <c r="A244" s="301" t="s">
        <v>1377</v>
      </c>
      <c r="B244" s="293" t="s">
        <v>1119</v>
      </c>
      <c r="C244" s="294" t="s">
        <v>12684</v>
      </c>
      <c r="D244" s="295" t="s">
        <v>12684</v>
      </c>
      <c r="E244" s="293" t="s">
        <v>872</v>
      </c>
      <c r="F244" s="293" t="s">
        <v>1377</v>
      </c>
      <c r="G244" s="293" t="s">
        <v>13217</v>
      </c>
      <c r="H244" s="296" t="s">
        <v>15855</v>
      </c>
      <c r="I244" s="297" t="s">
        <v>1687</v>
      </c>
      <c r="J244" s="297" t="s">
        <v>9472</v>
      </c>
      <c r="K244" s="298" t="s">
        <v>15855</v>
      </c>
      <c r="L244" s="298" t="s">
        <v>15855</v>
      </c>
      <c r="M244" s="298" t="s">
        <v>15855</v>
      </c>
      <c r="N244" s="298" t="s">
        <v>15855</v>
      </c>
      <c r="O244" s="298" t="s">
        <v>15858</v>
      </c>
      <c r="P244" s="299" t="s">
        <v>15857</v>
      </c>
      <c r="Q244" s="300" t="s">
        <v>15855</v>
      </c>
      <c r="R244" s="182" t="str">
        <f ca="1">IF(ISERROR($V244),"",OFFSET('Smelter Look-up'!$C$4,$V244-4,0)&amp;"")</f>
        <v>KGHM Polska Miedz Spolka Akcyjna</v>
      </c>
      <c r="S244" s="181" t="str">
        <f t="shared" ca="1" si="32"/>
        <v>PL</v>
      </c>
      <c r="T244" s="181" t="str">
        <f ca="1">IF(B244="","",IF(ISERROR(MATCH($J244,SorP!$B$1:$B$6226,0)),"",INDIRECT("'SorP'!$A$"&amp;MATCH($S244&amp;$J244,SorP!C:C,0))))</f>
        <v>PL-02</v>
      </c>
      <c r="U244" s="201"/>
      <c r="V244" s="226">
        <f>IF(C244="",NA(),IF(OR(C244="Smelter not listed",C244="Smelter not yet identified"),MATCH($B244&amp;$D244,'Smelter Look-up'!$J:$J,0),MATCH($B244&amp;$C244,'Smelter Look-up'!$J:$J,0)))</f>
        <v>148</v>
      </c>
      <c r="X244" s="227">
        <f t="shared" si="33"/>
        <v>0</v>
      </c>
      <c r="AB244" s="228" t="str">
        <f t="shared" si="34"/>
        <v>GoldKGHM Polska Miedz Spolka Akcyjna</v>
      </c>
    </row>
    <row r="245" spans="1:28" s="227" customFormat="1" ht="67.5">
      <c r="A245" s="301" t="s">
        <v>1377</v>
      </c>
      <c r="B245" s="293" t="s">
        <v>1119</v>
      </c>
      <c r="C245" s="294" t="s">
        <v>12684</v>
      </c>
      <c r="D245" s="295" t="s">
        <v>12684</v>
      </c>
      <c r="E245" s="293" t="s">
        <v>872</v>
      </c>
      <c r="F245" s="293" t="s">
        <v>1377</v>
      </c>
      <c r="G245" s="293" t="s">
        <v>13217</v>
      </c>
      <c r="H245" s="296" t="s">
        <v>15855</v>
      </c>
      <c r="I245" s="297" t="s">
        <v>1687</v>
      </c>
      <c r="J245" s="297" t="s">
        <v>9472</v>
      </c>
      <c r="K245" s="298" t="s">
        <v>16063</v>
      </c>
      <c r="L245" s="298" t="s">
        <v>16064</v>
      </c>
      <c r="M245" s="298" t="s">
        <v>16065</v>
      </c>
      <c r="N245" s="298" t="s">
        <v>15862</v>
      </c>
      <c r="O245" s="298" t="s">
        <v>15893</v>
      </c>
      <c r="P245" s="299" t="s">
        <v>15857</v>
      </c>
      <c r="Q245" s="300" t="s">
        <v>15855</v>
      </c>
      <c r="R245" s="182" t="str">
        <f ca="1">IF(ISERROR($V245),"",OFFSET('Smelter Look-up'!$C$4,$V245-4,0)&amp;"")</f>
        <v>KGHM Polska Miedz Spolka Akcyjna</v>
      </c>
      <c r="S245" s="181" t="str">
        <f t="shared" ca="1" si="32"/>
        <v>PL</v>
      </c>
      <c r="T245" s="181" t="str">
        <f ca="1">IF(B245="","",IF(ISERROR(MATCH($J245,SorP!$B$1:$B$6226,0)),"",INDIRECT("'SorP'!$A$"&amp;MATCH($S245&amp;$J245,SorP!C:C,0))))</f>
        <v>PL-02</v>
      </c>
      <c r="U245" s="201"/>
      <c r="V245" s="226">
        <f>IF(C245="",NA(),IF(OR(C245="Smelter not listed",C245="Smelter not yet identified"),MATCH($B245&amp;$D245,'Smelter Look-up'!$J:$J,0),MATCH($B245&amp;$C245,'Smelter Look-up'!$J:$J,0)))</f>
        <v>148</v>
      </c>
      <c r="X245" s="227">
        <f t="shared" si="33"/>
        <v>0</v>
      </c>
      <c r="AB245" s="228" t="str">
        <f t="shared" si="34"/>
        <v>GoldKGHM Polska Miedz Spolka Akcyjna</v>
      </c>
    </row>
    <row r="246" spans="1:28" s="227" customFormat="1" ht="67.5">
      <c r="A246" s="301" t="s">
        <v>690</v>
      </c>
      <c r="B246" s="293" t="s">
        <v>1119</v>
      </c>
      <c r="C246" s="294" t="s">
        <v>2131</v>
      </c>
      <c r="D246" s="295" t="s">
        <v>2131</v>
      </c>
      <c r="E246" s="293" t="s">
        <v>1098</v>
      </c>
      <c r="F246" s="293" t="s">
        <v>690</v>
      </c>
      <c r="G246" s="293" t="s">
        <v>13217</v>
      </c>
      <c r="H246" s="296" t="s">
        <v>15855</v>
      </c>
      <c r="I246" s="297" t="s">
        <v>1600</v>
      </c>
      <c r="J246" s="297" t="s">
        <v>1573</v>
      </c>
      <c r="K246" s="298" t="s">
        <v>15855</v>
      </c>
      <c r="L246" s="298" t="s">
        <v>15855</v>
      </c>
      <c r="M246" s="298" t="s">
        <v>15855</v>
      </c>
      <c r="N246" s="298" t="s">
        <v>15855</v>
      </c>
      <c r="O246" s="298" t="s">
        <v>15855</v>
      </c>
      <c r="P246" s="299" t="s">
        <v>15857</v>
      </c>
      <c r="Q246" s="300" t="s">
        <v>15855</v>
      </c>
      <c r="R246" s="182" t="str">
        <f ca="1">IF(ISERROR($V246),"",OFFSET('Smelter Look-up'!$C$4,$V246-4,0)&amp;"")</f>
        <v>Kojima Chemicals Co., Ltd.</v>
      </c>
      <c r="S246" s="181" t="str">
        <f t="shared" ca="1" si="32"/>
        <v>JP</v>
      </c>
      <c r="T246" s="181" t="str">
        <f ca="1">IF(B246="","",IF(ISERROR(MATCH($J246,SorP!$B$1:$B$6226,0)),"",INDIRECT("'SorP'!$A$"&amp;MATCH($S246&amp;$J246,SorP!C:C,0))))</f>
        <v>JP-11</v>
      </c>
      <c r="U246" s="201"/>
      <c r="V246" s="226">
        <f>IF(C246="",NA(),IF(OR(C246="Smelter not listed",C246="Smelter not yet identified"),MATCH($B246&amp;$D246,'Smelter Look-up'!$J:$J,0),MATCH($B246&amp;$C246,'Smelter Look-up'!$J:$J,0)))</f>
        <v>151</v>
      </c>
      <c r="X246" s="227">
        <f t="shared" si="33"/>
        <v>0</v>
      </c>
      <c r="AB246" s="228" t="str">
        <f t="shared" si="34"/>
        <v>GoldKojima Chemicals Co., Ltd.</v>
      </c>
    </row>
    <row r="247" spans="1:28" s="227" customFormat="1" ht="67.5">
      <c r="A247" s="301" t="s">
        <v>690</v>
      </c>
      <c r="B247" s="293" t="s">
        <v>1119</v>
      </c>
      <c r="C247" s="294" t="s">
        <v>2131</v>
      </c>
      <c r="D247" s="295" t="s">
        <v>2131</v>
      </c>
      <c r="E247" s="293" t="s">
        <v>1098</v>
      </c>
      <c r="F247" s="293" t="s">
        <v>690</v>
      </c>
      <c r="G247" s="293" t="s">
        <v>13217</v>
      </c>
      <c r="H247" s="296" t="s">
        <v>15855</v>
      </c>
      <c r="I247" s="297" t="s">
        <v>1600</v>
      </c>
      <c r="J247" s="297" t="s">
        <v>1573</v>
      </c>
      <c r="K247" s="298" t="s">
        <v>15855</v>
      </c>
      <c r="L247" s="298" t="s">
        <v>15855</v>
      </c>
      <c r="M247" s="298" t="s">
        <v>15855</v>
      </c>
      <c r="N247" s="298" t="s">
        <v>15855</v>
      </c>
      <c r="O247" s="298" t="s">
        <v>16066</v>
      </c>
      <c r="P247" s="299" t="s">
        <v>15857</v>
      </c>
      <c r="Q247" s="300" t="s">
        <v>15855</v>
      </c>
      <c r="R247" s="182" t="str">
        <f ca="1">IF(ISERROR($V247),"",OFFSET('Smelter Look-up'!$C$4,$V247-4,0)&amp;"")</f>
        <v>Kojima Chemicals Co., Ltd.</v>
      </c>
      <c r="S247" s="181" t="str">
        <f t="shared" ca="1" si="32"/>
        <v>JP</v>
      </c>
      <c r="T247" s="181" t="str">
        <f ca="1">IF(B247="","",IF(ISERROR(MATCH($J247,SorP!$B$1:$B$6226,0)),"",INDIRECT("'SorP'!$A$"&amp;MATCH($S247&amp;$J247,SorP!C:C,0))))</f>
        <v>JP-11</v>
      </c>
      <c r="U247" s="201"/>
      <c r="V247" s="226">
        <f>IF(C247="",NA(),IF(OR(C247="Smelter not listed",C247="Smelter not yet identified"),MATCH($B247&amp;$D247,'Smelter Look-up'!$J:$J,0),MATCH($B247&amp;$C247,'Smelter Look-up'!$J:$J,0)))</f>
        <v>151</v>
      </c>
      <c r="X247" s="227">
        <f t="shared" si="33"/>
        <v>0</v>
      </c>
      <c r="AB247" s="228" t="str">
        <f t="shared" si="34"/>
        <v>GoldKojima Chemicals Co., Ltd.</v>
      </c>
    </row>
    <row r="248" spans="1:28" s="227" customFormat="1" ht="67.5">
      <c r="A248" s="301" t="s">
        <v>690</v>
      </c>
      <c r="B248" s="293" t="s">
        <v>1119</v>
      </c>
      <c r="C248" s="294" t="s">
        <v>2131</v>
      </c>
      <c r="D248" s="295" t="s">
        <v>2131</v>
      </c>
      <c r="E248" s="293" t="s">
        <v>1098</v>
      </c>
      <c r="F248" s="293" t="s">
        <v>690</v>
      </c>
      <c r="G248" s="293" t="s">
        <v>13217</v>
      </c>
      <c r="H248" s="296" t="s">
        <v>15855</v>
      </c>
      <c r="I248" s="297" t="s">
        <v>1600</v>
      </c>
      <c r="J248" s="297" t="s">
        <v>1573</v>
      </c>
      <c r="K248" s="298" t="s">
        <v>16067</v>
      </c>
      <c r="L248" s="298" t="s">
        <v>16068</v>
      </c>
      <c r="M248" s="298" t="s">
        <v>16069</v>
      </c>
      <c r="N248" s="298" t="s">
        <v>15870</v>
      </c>
      <c r="O248" s="298" t="s">
        <v>15999</v>
      </c>
      <c r="P248" s="299" t="s">
        <v>15857</v>
      </c>
      <c r="Q248" s="300" t="s">
        <v>15855</v>
      </c>
      <c r="R248" s="182" t="str">
        <f ca="1">IF(ISERROR($V248),"",OFFSET('Smelter Look-up'!$C$4,$V248-4,0)&amp;"")</f>
        <v>Kojima Chemicals Co., Ltd.</v>
      </c>
      <c r="S248" s="181" t="str">
        <f t="shared" ca="1" si="32"/>
        <v>JP</v>
      </c>
      <c r="T248" s="181" t="str">
        <f ca="1">IF(B248="","",IF(ISERROR(MATCH($J248,SorP!$B$1:$B$6226,0)),"",INDIRECT("'SorP'!$A$"&amp;MATCH($S248&amp;$J248,SorP!C:C,0))))</f>
        <v>JP-11</v>
      </c>
      <c r="U248" s="201"/>
      <c r="V248" s="226">
        <f>IF(C248="",NA(),IF(OR(C248="Smelter not listed",C248="Smelter not yet identified"),MATCH($B248&amp;$D248,'Smelter Look-up'!$J:$J,0),MATCH($B248&amp;$C248,'Smelter Look-up'!$J:$J,0)))</f>
        <v>151</v>
      </c>
      <c r="X248" s="227">
        <f t="shared" si="33"/>
        <v>0</v>
      </c>
      <c r="AB248" s="228" t="str">
        <f t="shared" si="34"/>
        <v>GoldKojima Chemicals Co., Ltd.</v>
      </c>
    </row>
    <row r="249" spans="1:28" s="227" customFormat="1" ht="67.5">
      <c r="A249" s="301" t="s">
        <v>690</v>
      </c>
      <c r="B249" s="293" t="s">
        <v>1119</v>
      </c>
      <c r="C249" s="294" t="s">
        <v>2131</v>
      </c>
      <c r="D249" s="295" t="s">
        <v>2131</v>
      </c>
      <c r="E249" s="293" t="s">
        <v>1098</v>
      </c>
      <c r="F249" s="293" t="s">
        <v>690</v>
      </c>
      <c r="G249" s="293" t="s">
        <v>13217</v>
      </c>
      <c r="H249" s="302" t="s">
        <v>15880</v>
      </c>
      <c r="I249" s="297" t="s">
        <v>1600</v>
      </c>
      <c r="J249" s="297" t="s">
        <v>1573</v>
      </c>
      <c r="K249" s="298" t="s">
        <v>15855</v>
      </c>
      <c r="L249" s="298" t="s">
        <v>15855</v>
      </c>
      <c r="M249" s="298" t="s">
        <v>15855</v>
      </c>
      <c r="N249" s="298" t="s">
        <v>15855</v>
      </c>
      <c r="O249" s="298" t="s">
        <v>15855</v>
      </c>
      <c r="P249" s="299" t="s">
        <v>15857</v>
      </c>
      <c r="Q249" s="300" t="s">
        <v>15855</v>
      </c>
      <c r="R249" s="182" t="str">
        <f ca="1">IF(ISERROR($V249),"",OFFSET('Smelter Look-up'!$C$4,$V249-4,0)&amp;"")</f>
        <v>Kojima Chemicals Co., Ltd.</v>
      </c>
      <c r="S249" s="181" t="str">
        <f t="shared" ca="1" si="32"/>
        <v>JP</v>
      </c>
      <c r="T249" s="181" t="str">
        <f ca="1">IF(B249="","",IF(ISERROR(MATCH($J249,SorP!$B$1:$B$6226,0)),"",INDIRECT("'SorP'!$A$"&amp;MATCH($S249&amp;$J249,SorP!C:C,0))))</f>
        <v>JP-11</v>
      </c>
      <c r="U249" s="201"/>
      <c r="V249" s="226">
        <f>IF(C249="",NA(),IF(OR(C249="Smelter not listed",C249="Smelter not yet identified"),MATCH($B249&amp;$D249,'Smelter Look-up'!$J:$J,0),MATCH($B249&amp;$C249,'Smelter Look-up'!$J:$J,0)))</f>
        <v>151</v>
      </c>
      <c r="X249" s="227">
        <f t="shared" si="33"/>
        <v>0</v>
      </c>
      <c r="AB249" s="228" t="str">
        <f t="shared" si="34"/>
        <v>GoldKojima Chemicals Co., Ltd.</v>
      </c>
    </row>
    <row r="250" spans="1:28" s="227" customFormat="1" ht="40.5">
      <c r="A250" s="301" t="s">
        <v>1704</v>
      </c>
      <c r="B250" s="293" t="s">
        <v>1119</v>
      </c>
      <c r="C250" s="294" t="s">
        <v>2285</v>
      </c>
      <c r="D250" s="295" t="s">
        <v>2285</v>
      </c>
      <c r="E250" s="293" t="s">
        <v>1101</v>
      </c>
      <c r="F250" s="293" t="s">
        <v>1704</v>
      </c>
      <c r="G250" s="293" t="s">
        <v>13217</v>
      </c>
      <c r="H250" s="296" t="s">
        <v>15855</v>
      </c>
      <c r="I250" s="297" t="s">
        <v>16070</v>
      </c>
      <c r="J250" s="297" t="s">
        <v>12855</v>
      </c>
      <c r="K250" s="298" t="s">
        <v>15855</v>
      </c>
      <c r="L250" s="298" t="s">
        <v>15855</v>
      </c>
      <c r="M250" s="298" t="s">
        <v>15855</v>
      </c>
      <c r="N250" s="298" t="s">
        <v>15855</v>
      </c>
      <c r="O250" s="298" t="s">
        <v>15855</v>
      </c>
      <c r="P250" s="299" t="s">
        <v>15857</v>
      </c>
      <c r="Q250" s="300" t="s">
        <v>15855</v>
      </c>
      <c r="R250" s="182" t="str">
        <f ca="1">IF(ISERROR($V250),"",OFFSET('Smelter Look-up'!$C$4,$V250-4,0)&amp;"")</f>
        <v>Korea Zinc Co., Ltd.</v>
      </c>
      <c r="S250" s="181" t="str">
        <f t="shared" ca="1" si="32"/>
        <v>KR</v>
      </c>
      <c r="T250" s="181" t="str">
        <f ca="1">IF(B250="","",IF(ISERROR(MATCH($J250,SorP!$B$1:$B$6226,0)),"",INDIRECT("'SorP'!$A$"&amp;MATCH($S250&amp;$J250,SorP!C:C,0))))</f>
        <v>KR-11</v>
      </c>
      <c r="U250" s="201"/>
      <c r="V250" s="226">
        <f>IF(C250="",NA(),IF(OR(C250="Smelter not listed",C250="Smelter not yet identified"),MATCH($B250&amp;$D250,'Smelter Look-up'!$J:$J,0),MATCH($B250&amp;$C250,'Smelter Look-up'!$J:$J,0)))</f>
        <v>154</v>
      </c>
      <c r="X250" s="227">
        <f t="shared" si="33"/>
        <v>0</v>
      </c>
      <c r="AB250" s="228" t="str">
        <f t="shared" si="34"/>
        <v>GoldKorea Zinc Co., Ltd.</v>
      </c>
    </row>
    <row r="251" spans="1:28" s="227" customFormat="1" ht="40.5">
      <c r="A251" s="301" t="s">
        <v>1704</v>
      </c>
      <c r="B251" s="293" t="s">
        <v>1119</v>
      </c>
      <c r="C251" s="294" t="s">
        <v>2285</v>
      </c>
      <c r="D251" s="295" t="s">
        <v>2285</v>
      </c>
      <c r="E251" s="293" t="s">
        <v>1101</v>
      </c>
      <c r="F251" s="293" t="s">
        <v>1704</v>
      </c>
      <c r="G251" s="293" t="s">
        <v>13217</v>
      </c>
      <c r="H251" s="296" t="s">
        <v>15855</v>
      </c>
      <c r="I251" s="297" t="s">
        <v>16070</v>
      </c>
      <c r="J251" s="297" t="s">
        <v>12855</v>
      </c>
      <c r="K251" s="298" t="s">
        <v>16071</v>
      </c>
      <c r="L251" s="298" t="s">
        <v>16072</v>
      </c>
      <c r="M251" s="298" t="s">
        <v>16073</v>
      </c>
      <c r="N251" s="298" t="s">
        <v>15862</v>
      </c>
      <c r="O251" s="298" t="s">
        <v>15871</v>
      </c>
      <c r="P251" s="299" t="s">
        <v>15857</v>
      </c>
      <c r="Q251" s="300" t="s">
        <v>15855</v>
      </c>
      <c r="R251" s="182" t="str">
        <f ca="1">IF(ISERROR($V251),"",OFFSET('Smelter Look-up'!$C$4,$V251-4,0)&amp;"")</f>
        <v>Korea Zinc Co., Ltd.</v>
      </c>
      <c r="S251" s="181" t="str">
        <f t="shared" ca="1" si="32"/>
        <v>KR</v>
      </c>
      <c r="T251" s="181" t="str">
        <f ca="1">IF(B251="","",IF(ISERROR(MATCH($J251,SorP!$B$1:$B$6226,0)),"",INDIRECT("'SorP'!$A$"&amp;MATCH($S251&amp;$J251,SorP!C:C,0))))</f>
        <v>KR-11</v>
      </c>
      <c r="U251" s="201"/>
      <c r="V251" s="226">
        <f>IF(C251="",NA(),IF(OR(C251="Smelter not listed",C251="Smelter not yet identified"),MATCH($B251&amp;$D251,'Smelter Look-up'!$J:$J,0),MATCH($B251&amp;$C251,'Smelter Look-up'!$J:$J,0)))</f>
        <v>154</v>
      </c>
      <c r="X251" s="227">
        <f t="shared" si="33"/>
        <v>0</v>
      </c>
      <c r="AB251" s="228" t="str">
        <f t="shared" si="34"/>
        <v>GoldKorea Zinc Co., Ltd.</v>
      </c>
    </row>
    <row r="252" spans="1:28" s="227" customFormat="1" ht="40.5">
      <c r="A252" s="301" t="s">
        <v>1704</v>
      </c>
      <c r="B252" s="293" t="s">
        <v>1119</v>
      </c>
      <c r="C252" s="294" t="s">
        <v>2285</v>
      </c>
      <c r="D252" s="295" t="s">
        <v>2285</v>
      </c>
      <c r="E252" s="293" t="s">
        <v>1101</v>
      </c>
      <c r="F252" s="293" t="s">
        <v>1704</v>
      </c>
      <c r="G252" s="293" t="s">
        <v>13217</v>
      </c>
      <c r="H252" s="296" t="s">
        <v>15855</v>
      </c>
      <c r="I252" s="297" t="s">
        <v>15789</v>
      </c>
      <c r="J252" s="297" t="s">
        <v>12855</v>
      </c>
      <c r="K252" s="298" t="s">
        <v>15855</v>
      </c>
      <c r="L252" s="298" t="s">
        <v>15855</v>
      </c>
      <c r="M252" s="298" t="s">
        <v>15855</v>
      </c>
      <c r="N252" s="298" t="s">
        <v>15855</v>
      </c>
      <c r="O252" s="298" t="s">
        <v>15866</v>
      </c>
      <c r="P252" s="299" t="s">
        <v>15857</v>
      </c>
      <c r="Q252" s="300" t="s">
        <v>15855</v>
      </c>
      <c r="R252" s="182" t="str">
        <f ca="1">IF(ISERROR($V252),"",OFFSET('Smelter Look-up'!$C$4,$V252-4,0)&amp;"")</f>
        <v>Korea Zinc Co., Ltd.</v>
      </c>
      <c r="S252" s="181" t="str">
        <f t="shared" ca="1" si="32"/>
        <v>KR</v>
      </c>
      <c r="T252" s="181" t="str">
        <f ca="1">IF(B252="","",IF(ISERROR(MATCH($J252,SorP!$B$1:$B$6226,0)),"",INDIRECT("'SorP'!$A$"&amp;MATCH($S252&amp;$J252,SorP!C:C,0))))</f>
        <v>KR-11</v>
      </c>
      <c r="U252" s="201"/>
      <c r="V252" s="226">
        <f>IF(C252="",NA(),IF(OR(C252="Smelter not listed",C252="Smelter not yet identified"),MATCH($B252&amp;$D252,'Smelter Look-up'!$J:$J,0),MATCH($B252&amp;$C252,'Smelter Look-up'!$J:$J,0)))</f>
        <v>154</v>
      </c>
      <c r="X252" s="227">
        <f t="shared" si="33"/>
        <v>0</v>
      </c>
      <c r="AB252" s="228" t="str">
        <f t="shared" si="34"/>
        <v>GoldKorea Zinc Co., Ltd.</v>
      </c>
    </row>
    <row r="253" spans="1:28" s="227" customFormat="1" ht="54">
      <c r="A253" s="301" t="s">
        <v>13838</v>
      </c>
      <c r="B253" s="293" t="s">
        <v>1119</v>
      </c>
      <c r="C253" s="294" t="s">
        <v>13823</v>
      </c>
      <c r="D253" s="295" t="s">
        <v>13823</v>
      </c>
      <c r="E253" s="293" t="s">
        <v>1096</v>
      </c>
      <c r="F253" s="293" t="s">
        <v>13838</v>
      </c>
      <c r="G253" s="293" t="s">
        <v>13217</v>
      </c>
      <c r="H253" s="296" t="s">
        <v>15855</v>
      </c>
      <c r="I253" s="297" t="s">
        <v>13850</v>
      </c>
      <c r="J253" s="297" t="s">
        <v>15553</v>
      </c>
      <c r="K253" s="298" t="s">
        <v>15855</v>
      </c>
      <c r="L253" s="298" t="s">
        <v>15855</v>
      </c>
      <c r="M253" s="298" t="s">
        <v>15855</v>
      </c>
      <c r="N253" s="298" t="s">
        <v>15855</v>
      </c>
      <c r="O253" s="298" t="s">
        <v>15858</v>
      </c>
      <c r="P253" s="299" t="s">
        <v>15857</v>
      </c>
      <c r="Q253" s="300" t="s">
        <v>15855</v>
      </c>
      <c r="R253" s="182" t="str">
        <f ca="1">IF(ISERROR($V253),"",OFFSET('Smelter Look-up'!$C$4,$V253-4,0)&amp;"")</f>
        <v>Kundan Care Products Ltd.</v>
      </c>
      <c r="S253" s="181" t="str">
        <f t="shared" ca="1" si="32"/>
        <v>IN</v>
      </c>
      <c r="T253" s="181" t="str">
        <f ca="1">IF(B253="","",IF(ISERROR(MATCH($J253,SorP!$B$1:$B$6226,0)),"",INDIRECT("'SorP'!$A$"&amp;MATCH($S253&amp;$J253,SorP!C:C,0))))</f>
        <v>IN-UK</v>
      </c>
      <c r="U253" s="201"/>
      <c r="V253" s="226">
        <f>IF(C253="",NA(),IF(OR(C253="Smelter not listed",C253="Smelter not yet identified"),MATCH($B253&amp;$D253,'Smelter Look-up'!$J:$J,0),MATCH($B253&amp;$C253,'Smelter Look-up'!$J:$J,0)))</f>
        <v>158</v>
      </c>
      <c r="X253" s="227">
        <f t="shared" si="33"/>
        <v>0</v>
      </c>
      <c r="AB253" s="228" t="str">
        <f t="shared" si="34"/>
        <v>GoldKundan Care Products Ltd.</v>
      </c>
    </row>
    <row r="254" spans="1:28" s="227" customFormat="1" ht="40.5">
      <c r="A254" s="301" t="s">
        <v>691</v>
      </c>
      <c r="B254" s="293" t="s">
        <v>1119</v>
      </c>
      <c r="C254" s="294" t="s">
        <v>836</v>
      </c>
      <c r="D254" s="295" t="s">
        <v>836</v>
      </c>
      <c r="E254" s="293" t="s">
        <v>1100</v>
      </c>
      <c r="F254" s="293" t="s">
        <v>691</v>
      </c>
      <c r="G254" s="293" t="s">
        <v>13217</v>
      </c>
      <c r="H254" s="296" t="s">
        <v>15855</v>
      </c>
      <c r="I254" s="297" t="s">
        <v>1602</v>
      </c>
      <c r="J254" s="297" t="s">
        <v>12838</v>
      </c>
      <c r="K254" s="298" t="s">
        <v>15855</v>
      </c>
      <c r="L254" s="298" t="s">
        <v>15855</v>
      </c>
      <c r="M254" s="298" t="s">
        <v>15855</v>
      </c>
      <c r="N254" s="298" t="s">
        <v>15855</v>
      </c>
      <c r="O254" s="298" t="s">
        <v>15858</v>
      </c>
      <c r="P254" s="299" t="s">
        <v>15857</v>
      </c>
      <c r="Q254" s="300" t="s">
        <v>15855</v>
      </c>
      <c r="R254" s="182" t="str">
        <f ca="1">IF(ISERROR($V254),"",OFFSET('Smelter Look-up'!$C$4,$V254-4,0)&amp;"")</f>
        <v>Kyrgyzaltyn JSC</v>
      </c>
      <c r="S254" s="181" t="str">
        <f t="shared" ca="1" si="32"/>
        <v>KG</v>
      </c>
      <c r="T254" s="181" t="str">
        <f ca="1">IF(B254="","",IF(ISERROR(MATCH($J254,SorP!$B$1:$B$6226,0)),"",INDIRECT("'SorP'!$A$"&amp;MATCH($S254&amp;$J254,SorP!C:C,0))))</f>
        <v>KG-C</v>
      </c>
      <c r="U254" s="201"/>
      <c r="V254" s="226">
        <f>IF(C254="",NA(),IF(OR(C254="Smelter not listed",C254="Smelter not yet identified"),MATCH($B254&amp;$D254,'Smelter Look-up'!$J:$J,0),MATCH($B254&amp;$C254,'Smelter Look-up'!$J:$J,0)))</f>
        <v>159</v>
      </c>
      <c r="X254" s="227">
        <f t="shared" si="33"/>
        <v>0</v>
      </c>
      <c r="AB254" s="228" t="str">
        <f t="shared" si="34"/>
        <v>GoldKyrgyzaltyn JSC</v>
      </c>
    </row>
    <row r="255" spans="1:28" s="227" customFormat="1" ht="81">
      <c r="A255" s="301" t="s">
        <v>2490</v>
      </c>
      <c r="B255" s="293" t="s">
        <v>1119</v>
      </c>
      <c r="C255" s="294" t="s">
        <v>2489</v>
      </c>
      <c r="D255" s="295" t="s">
        <v>2489</v>
      </c>
      <c r="E255" s="293" t="s">
        <v>873</v>
      </c>
      <c r="F255" s="293" t="s">
        <v>2490</v>
      </c>
      <c r="G255" s="293" t="s">
        <v>13217</v>
      </c>
      <c r="H255" s="296" t="s">
        <v>15855</v>
      </c>
      <c r="I255" s="297" t="s">
        <v>12386</v>
      </c>
      <c r="J255" s="297" t="s">
        <v>9928</v>
      </c>
      <c r="K255" s="298" t="s">
        <v>15855</v>
      </c>
      <c r="L255" s="298" t="s">
        <v>15855</v>
      </c>
      <c r="M255" s="298" t="s">
        <v>15855</v>
      </c>
      <c r="N255" s="298" t="s">
        <v>15855</v>
      </c>
      <c r="O255" s="298" t="s">
        <v>15858</v>
      </c>
      <c r="P255" s="299" t="s">
        <v>15857</v>
      </c>
      <c r="Q255" s="300" t="s">
        <v>15855</v>
      </c>
      <c r="R255" s="182" t="str">
        <f ca="1">IF(ISERROR($V255),"",OFFSET('Smelter Look-up'!$C$4,$V255-4,0)&amp;"")</f>
        <v>Kyshtym Copper-Electrolytic Plant ZAO</v>
      </c>
      <c r="S255" s="181" t="str">
        <f t="shared" ca="1" si="32"/>
        <v>RU</v>
      </c>
      <c r="T255" s="181" t="str">
        <f ca="1">IF(B255="","",IF(ISERROR(MATCH($J255,SorP!$B$1:$B$6226,0)),"",INDIRECT("'SorP'!$A$"&amp;MATCH($S255&amp;$J255,SorP!C:C,0))))</f>
        <v>RU-CHE</v>
      </c>
      <c r="U255" s="201"/>
      <c r="V255" s="226">
        <f>IF(C255="",NA(),IF(OR(C255="Smelter not listed",C255="Smelter not yet identified"),MATCH($B255&amp;$D255,'Smelter Look-up'!$J:$J,0),MATCH($B255&amp;$C255,'Smelter Look-up'!$J:$J,0)))</f>
        <v>160</v>
      </c>
      <c r="X255" s="227">
        <f t="shared" si="33"/>
        <v>0</v>
      </c>
      <c r="AB255" s="228" t="str">
        <f t="shared" si="34"/>
        <v>GoldKyshtym Copper-Electrolytic Plant ZAO</v>
      </c>
    </row>
    <row r="256" spans="1:28" s="227" customFormat="1" ht="67.5">
      <c r="A256" s="301" t="s">
        <v>692</v>
      </c>
      <c r="B256" s="293" t="s">
        <v>1119</v>
      </c>
      <c r="C256" s="294" t="s">
        <v>2286</v>
      </c>
      <c r="D256" s="295" t="s">
        <v>2286</v>
      </c>
      <c r="E256" s="293" t="s">
        <v>874</v>
      </c>
      <c r="F256" s="293" t="s">
        <v>692</v>
      </c>
      <c r="G256" s="293" t="s">
        <v>13217</v>
      </c>
      <c r="H256" s="296" t="s">
        <v>15855</v>
      </c>
      <c r="I256" s="297" t="s">
        <v>1603</v>
      </c>
      <c r="J256" s="297" t="s">
        <v>10065</v>
      </c>
      <c r="K256" s="298" t="s">
        <v>15855</v>
      </c>
      <c r="L256" s="298" t="s">
        <v>15855</v>
      </c>
      <c r="M256" s="298" t="s">
        <v>15855</v>
      </c>
      <c r="N256" s="298" t="s">
        <v>15855</v>
      </c>
      <c r="O256" s="298" t="s">
        <v>15858</v>
      </c>
      <c r="P256" s="299" t="s">
        <v>15857</v>
      </c>
      <c r="Q256" s="300" t="s">
        <v>15855</v>
      </c>
      <c r="R256" s="182" t="str">
        <f ca="1">IF(ISERROR($V256),"",OFFSET('Smelter Look-up'!$C$4,$V256-4,0)&amp;"")</f>
        <v>L'azurde Company For Jewelry</v>
      </c>
      <c r="S256" s="181" t="str">
        <f t="shared" ca="1" si="32"/>
        <v>SA</v>
      </c>
      <c r="T256" s="181" t="str">
        <f ca="1">IF(B256="","",IF(ISERROR(MATCH($J256,SorP!$B$1:$B$6226,0)),"",INDIRECT("'SorP'!$A$"&amp;MATCH($S256&amp;$J256,SorP!C:C,0))))</f>
        <v>SA-01</v>
      </c>
      <c r="U256" s="201"/>
      <c r="V256" s="226">
        <f>IF(C256="",NA(),IF(OR(C256="Smelter not listed",C256="Smelter not yet identified"),MATCH($B256&amp;$D256,'Smelter Look-up'!$J:$J,0),MATCH($B256&amp;$C256,'Smelter Look-up'!$J:$J,0)))</f>
        <v>163</v>
      </c>
      <c r="X256" s="227">
        <f t="shared" si="33"/>
        <v>0</v>
      </c>
      <c r="AB256" s="228" t="str">
        <f t="shared" si="34"/>
        <v>GoldL'azurde Company For Jewelry</v>
      </c>
    </row>
    <row r="257" spans="1:28" s="227" customFormat="1" ht="40.5">
      <c r="A257" s="301" t="s">
        <v>1378</v>
      </c>
      <c r="B257" s="293" t="s">
        <v>1119</v>
      </c>
      <c r="C257" s="294" t="s">
        <v>2287</v>
      </c>
      <c r="D257" s="295" t="s">
        <v>2287</v>
      </c>
      <c r="E257" s="293" t="s">
        <v>1090</v>
      </c>
      <c r="F257" s="293" t="s">
        <v>1378</v>
      </c>
      <c r="G257" s="293" t="s">
        <v>13217</v>
      </c>
      <c r="H257" s="296" t="s">
        <v>15855</v>
      </c>
      <c r="I257" s="297" t="s">
        <v>1604</v>
      </c>
      <c r="J257" s="297" t="s">
        <v>13598</v>
      </c>
      <c r="K257" s="298" t="s">
        <v>15855</v>
      </c>
      <c r="L257" s="298" t="s">
        <v>15855</v>
      </c>
      <c r="M257" s="298" t="s">
        <v>15855</v>
      </c>
      <c r="N257" s="298" t="s">
        <v>15855</v>
      </c>
      <c r="O257" s="298" t="s">
        <v>15858</v>
      </c>
      <c r="P257" s="299" t="s">
        <v>15857</v>
      </c>
      <c r="Q257" s="300" t="s">
        <v>15855</v>
      </c>
      <c r="R257" s="182" t="str">
        <f ca="1">IF(ISERROR($V257),"",OFFSET('Smelter Look-up'!$C$4,$V257-4,0)&amp;"")</f>
        <v>Lingbao Gold Co., Ltd.</v>
      </c>
      <c r="S257" s="181" t="str">
        <f t="shared" ca="1" si="32"/>
        <v>CN</v>
      </c>
      <c r="T257" s="181" t="str">
        <f ca="1">IF(B257="","",IF(ISERROR(MATCH($J257,SorP!$B$1:$B$6226,0)),"",INDIRECT("'SorP'!$A$"&amp;MATCH($S257&amp;$J257,SorP!C:C,0))))</f>
        <v>CN-HA</v>
      </c>
      <c r="U257" s="201"/>
      <c r="V257" s="226">
        <f>IF(C257="",NA(),IF(OR(C257="Smelter not listed",C257="Smelter not yet identified"),MATCH($B257&amp;$D257,'Smelter Look-up'!$J:$J,0),MATCH($B257&amp;$C257,'Smelter Look-up'!$J:$J,0)))</f>
        <v>165</v>
      </c>
      <c r="X257" s="227">
        <f t="shared" si="33"/>
        <v>0</v>
      </c>
      <c r="AB257" s="228" t="str">
        <f t="shared" si="34"/>
        <v>GoldLingbao Gold Co., Ltd.</v>
      </c>
    </row>
    <row r="258" spans="1:28" s="227" customFormat="1" ht="81">
      <c r="A258" s="301" t="s">
        <v>693</v>
      </c>
      <c r="B258" s="293" t="s">
        <v>1119</v>
      </c>
      <c r="C258" s="294" t="s">
        <v>2132</v>
      </c>
      <c r="D258" s="295" t="s">
        <v>2132</v>
      </c>
      <c r="E258" s="293" t="s">
        <v>1090</v>
      </c>
      <c r="F258" s="293" t="s">
        <v>693</v>
      </c>
      <c r="G258" s="293" t="s">
        <v>13217</v>
      </c>
      <c r="H258" s="296" t="s">
        <v>15855</v>
      </c>
      <c r="I258" s="297" t="s">
        <v>1604</v>
      </c>
      <c r="J258" s="297" t="s">
        <v>13598</v>
      </c>
      <c r="K258" s="298" t="s">
        <v>15855</v>
      </c>
      <c r="L258" s="298" t="s">
        <v>15855</v>
      </c>
      <c r="M258" s="298" t="s">
        <v>15855</v>
      </c>
      <c r="N258" s="298" t="s">
        <v>15855</v>
      </c>
      <c r="O258" s="298" t="s">
        <v>15858</v>
      </c>
      <c r="P258" s="299" t="s">
        <v>15857</v>
      </c>
      <c r="Q258" s="300" t="s">
        <v>15855</v>
      </c>
      <c r="R258" s="182" t="str">
        <f ca="1">IF(ISERROR($V258),"",OFFSET('Smelter Look-up'!$C$4,$V258-4,0)&amp;"")</f>
        <v>Lingbao Jinyuan Tonghui Refinery Co., Ltd.</v>
      </c>
      <c r="S258" s="181" t="str">
        <f t="shared" ca="1" si="32"/>
        <v>CN</v>
      </c>
      <c r="T258" s="181" t="str">
        <f ca="1">IF(B258="","",IF(ISERROR(MATCH($J258,SorP!$B$1:$B$6226,0)),"",INDIRECT("'SorP'!$A$"&amp;MATCH($S258&amp;$J258,SorP!C:C,0))))</f>
        <v>CN-HA</v>
      </c>
      <c r="U258" s="201"/>
      <c r="V258" s="226">
        <f>IF(C258="",NA(),IF(OR(C258="Smelter not listed",C258="Smelter not yet identified"),MATCH($B258&amp;$D258,'Smelter Look-up'!$J:$J,0),MATCH($B258&amp;$C258,'Smelter Look-up'!$J:$J,0)))</f>
        <v>166</v>
      </c>
      <c r="X258" s="227">
        <f t="shared" si="33"/>
        <v>0</v>
      </c>
      <c r="AB258" s="228" t="str">
        <f t="shared" si="34"/>
        <v>GoldLingbao Jinyuan Tonghui Refinery Co., Ltd.</v>
      </c>
    </row>
    <row r="259" spans="1:28" s="227" customFormat="1" ht="40.5">
      <c r="A259" s="301" t="s">
        <v>2423</v>
      </c>
      <c r="B259" s="293" t="s">
        <v>1119</v>
      </c>
      <c r="C259" s="294" t="s">
        <v>2422</v>
      </c>
      <c r="D259" s="295" t="s">
        <v>2422</v>
      </c>
      <c r="E259" s="293" t="s">
        <v>1081</v>
      </c>
      <c r="F259" s="293" t="s">
        <v>2423</v>
      </c>
      <c r="G259" s="293" t="s">
        <v>13217</v>
      </c>
      <c r="H259" s="296" t="s">
        <v>15855</v>
      </c>
      <c r="I259" s="297" t="s">
        <v>2433</v>
      </c>
      <c r="J259" s="297" t="s">
        <v>2433</v>
      </c>
      <c r="K259" s="298" t="s">
        <v>15855</v>
      </c>
      <c r="L259" s="298" t="s">
        <v>15855</v>
      </c>
      <c r="M259" s="298" t="s">
        <v>15855</v>
      </c>
      <c r="N259" s="298" t="s">
        <v>15855</v>
      </c>
      <c r="O259" s="298" t="s">
        <v>15855</v>
      </c>
      <c r="P259" s="299" t="s">
        <v>15857</v>
      </c>
      <c r="Q259" s="300" t="s">
        <v>15855</v>
      </c>
      <c r="R259" s="182" t="str">
        <f ca="1">IF(ISERROR($V259),"",OFFSET('Smelter Look-up'!$C$4,$V259-4,0)&amp;"")</f>
        <v>L'Orfebre S.A.</v>
      </c>
      <c r="S259" s="181" t="str">
        <f t="shared" ca="1" si="32"/>
        <v>AD</v>
      </c>
      <c r="T259" s="181" t="str">
        <f ca="1">IF(B259="","",IF(ISERROR(MATCH($J259,SorP!$B$1:$B$6226,0)),"",INDIRECT("'SorP'!$A$"&amp;MATCH($S259&amp;$J259,SorP!C:C,0))))</f>
        <v>AD-07</v>
      </c>
      <c r="U259" s="201"/>
      <c r="V259" s="226">
        <f>IF(C259="",NA(),IF(OR(C259="Smelter not listed",C259="Smelter not yet identified"),MATCH($B259&amp;$D259,'Smelter Look-up'!$J:$J,0),MATCH($B259&amp;$C259,'Smelter Look-up'!$J:$J,0)))</f>
        <v>167</v>
      </c>
      <c r="X259" s="227">
        <f t="shared" si="33"/>
        <v>0</v>
      </c>
      <c r="AB259" s="228" t="str">
        <f t="shared" si="34"/>
        <v>GoldL'Orfebre S.A.</v>
      </c>
    </row>
    <row r="260" spans="1:28" s="227" customFormat="1" ht="40.5">
      <c r="A260" s="301" t="s">
        <v>2423</v>
      </c>
      <c r="B260" s="293" t="s">
        <v>1119</v>
      </c>
      <c r="C260" s="294" t="s">
        <v>2422</v>
      </c>
      <c r="D260" s="295" t="s">
        <v>2422</v>
      </c>
      <c r="E260" s="293" t="s">
        <v>1081</v>
      </c>
      <c r="F260" s="293" t="s">
        <v>2423</v>
      </c>
      <c r="G260" s="293" t="s">
        <v>13217</v>
      </c>
      <c r="H260" s="296" t="s">
        <v>15855</v>
      </c>
      <c r="I260" s="297" t="s">
        <v>2433</v>
      </c>
      <c r="J260" s="297" t="s">
        <v>2433</v>
      </c>
      <c r="K260" s="298" t="s">
        <v>15855</v>
      </c>
      <c r="L260" s="298" t="s">
        <v>15855</v>
      </c>
      <c r="M260" s="298" t="s">
        <v>15855</v>
      </c>
      <c r="N260" s="298" t="s">
        <v>15855</v>
      </c>
      <c r="O260" s="298" t="s">
        <v>16074</v>
      </c>
      <c r="P260" s="299" t="s">
        <v>15857</v>
      </c>
      <c r="Q260" s="300" t="s">
        <v>16075</v>
      </c>
      <c r="R260" s="182" t="str">
        <f ca="1">IF(ISERROR($V260),"",OFFSET('Smelter Look-up'!$C$4,$V260-4,0)&amp;"")</f>
        <v>L'Orfebre S.A.</v>
      </c>
      <c r="S260" s="181" t="str">
        <f t="shared" ca="1" si="32"/>
        <v>AD</v>
      </c>
      <c r="T260" s="181" t="str">
        <f ca="1">IF(B260="","",IF(ISERROR(MATCH($J260,SorP!$B$1:$B$6226,0)),"",INDIRECT("'SorP'!$A$"&amp;MATCH($S260&amp;$J260,SorP!C:C,0))))</f>
        <v>AD-07</v>
      </c>
      <c r="U260" s="201"/>
      <c r="V260" s="226">
        <f>IF(C260="",NA(),IF(OR(C260="Smelter not listed",C260="Smelter not yet identified"),MATCH($B260&amp;$D260,'Smelter Look-up'!$J:$J,0),MATCH($B260&amp;$C260,'Smelter Look-up'!$J:$J,0)))</f>
        <v>167</v>
      </c>
      <c r="X260" s="227">
        <f t="shared" si="33"/>
        <v>0</v>
      </c>
      <c r="AB260" s="228" t="str">
        <f t="shared" si="34"/>
        <v>GoldL'Orfebre S.A.</v>
      </c>
    </row>
    <row r="261" spans="1:28" s="227" customFormat="1" ht="40.5">
      <c r="A261" s="301" t="s">
        <v>2423</v>
      </c>
      <c r="B261" s="293" t="s">
        <v>1119</v>
      </c>
      <c r="C261" s="294" t="s">
        <v>2422</v>
      </c>
      <c r="D261" s="295" t="s">
        <v>2422</v>
      </c>
      <c r="E261" s="293" t="s">
        <v>1081</v>
      </c>
      <c r="F261" s="293" t="s">
        <v>2423</v>
      </c>
      <c r="G261" s="293" t="s">
        <v>13217</v>
      </c>
      <c r="H261" s="296" t="s">
        <v>15855</v>
      </c>
      <c r="I261" s="297" t="s">
        <v>2433</v>
      </c>
      <c r="J261" s="297" t="s">
        <v>2433</v>
      </c>
      <c r="K261" s="298" t="s">
        <v>15855</v>
      </c>
      <c r="L261" s="298" t="s">
        <v>15855</v>
      </c>
      <c r="M261" s="298" t="s">
        <v>15855</v>
      </c>
      <c r="N261" s="298" t="s">
        <v>15855</v>
      </c>
      <c r="O261" s="298" t="s">
        <v>15858</v>
      </c>
      <c r="P261" s="299" t="s">
        <v>15857</v>
      </c>
      <c r="Q261" s="300" t="s">
        <v>15855</v>
      </c>
      <c r="R261" s="182" t="str">
        <f ca="1">IF(ISERROR($V261),"",OFFSET('Smelter Look-up'!$C$4,$V261-4,0)&amp;"")</f>
        <v>L'Orfebre S.A.</v>
      </c>
      <c r="S261" s="181" t="str">
        <f t="shared" ref="S261" ca="1" si="35">IF(B261="","",IF(ISERROR(MATCH($E261,CL,0)),"Unknown",INDIRECT("'C'!$A$"&amp;MATCH($E261,CL,0)+1)))</f>
        <v>AD</v>
      </c>
      <c r="T261" s="181" t="str">
        <f ca="1">IF(B261="","",IF(ISERROR(MATCH($J261,SorP!$B$1:$B$6226,0)),"",INDIRECT("'SorP'!$A$"&amp;MATCH($S261&amp;$J261,SorP!C:C,0))))</f>
        <v>AD-07</v>
      </c>
      <c r="U261" s="201"/>
      <c r="V261" s="226">
        <f>IF(C261="",NA(),IF(OR(C261="Smelter not listed",C261="Smelter not yet identified"),MATCH($B261&amp;$D261,'Smelter Look-up'!$J:$J,0),MATCH($B261&amp;$C261,'Smelter Look-up'!$J:$J,0)))</f>
        <v>167</v>
      </c>
      <c r="X261" s="227">
        <f t="shared" ref="X261" si="36">IF(AND(C261="Smelter not listed",OR(LEN(D261)=0,LEN(E261)=0)),1,0)</f>
        <v>0</v>
      </c>
      <c r="AB261" s="228" t="str">
        <f t="shared" ref="AB261" si="37">B261&amp;C261</f>
        <v>GoldL'Orfebre S.A.</v>
      </c>
    </row>
    <row r="262" spans="1:28" s="227" customFormat="1" ht="40.5">
      <c r="A262" s="301" t="s">
        <v>2423</v>
      </c>
      <c r="B262" s="293" t="s">
        <v>1119</v>
      </c>
      <c r="C262" s="294" t="s">
        <v>2422</v>
      </c>
      <c r="D262" s="295" t="s">
        <v>2422</v>
      </c>
      <c r="E262" s="293" t="s">
        <v>1081</v>
      </c>
      <c r="F262" s="293" t="s">
        <v>2423</v>
      </c>
      <c r="G262" s="293" t="s">
        <v>13217</v>
      </c>
      <c r="H262" s="296" t="s">
        <v>15855</v>
      </c>
      <c r="I262" s="297" t="s">
        <v>2433</v>
      </c>
      <c r="J262" s="297" t="s">
        <v>2433</v>
      </c>
      <c r="K262" s="298" t="s">
        <v>16076</v>
      </c>
      <c r="L262" s="298" t="s">
        <v>16077</v>
      </c>
      <c r="M262" s="298" t="s">
        <v>15869</v>
      </c>
      <c r="N262" s="298" t="s">
        <v>15870</v>
      </c>
      <c r="O262" s="298" t="s">
        <v>16078</v>
      </c>
      <c r="P262" s="299" t="s">
        <v>15857</v>
      </c>
      <c r="Q262" s="300" t="s">
        <v>15855</v>
      </c>
      <c r="R262" s="182" t="str">
        <f ca="1">IF(ISERROR($V262),"",OFFSET('Smelter Look-up'!$C$4,$V262-4,0)&amp;"")</f>
        <v>L'Orfebre S.A.</v>
      </c>
      <c r="S262" s="181" t="str">
        <f t="shared" ref="S262:S293" ca="1" si="38">IF(B262="","",IF(ISERROR(MATCH($E262,CL,0)),"Unknown",INDIRECT("'C'!$A$"&amp;MATCH($E262,CL,0)+1)))</f>
        <v>AD</v>
      </c>
      <c r="T262" s="181" t="str">
        <f ca="1">IF(B262="","",IF(ISERROR(MATCH($J262,SorP!$B$1:$B$6226,0)),"",INDIRECT("'SorP'!$A$"&amp;MATCH($S262&amp;$J262,SorP!C:C,0))))</f>
        <v>AD-07</v>
      </c>
      <c r="U262" s="201"/>
      <c r="V262" s="226">
        <f>IF(C262="",NA(),IF(OR(C262="Smelter not listed",C262="Smelter not yet identified"),MATCH($B262&amp;$D262,'Smelter Look-up'!$J:$J,0),MATCH($B262&amp;$C262,'Smelter Look-up'!$J:$J,0)))</f>
        <v>167</v>
      </c>
      <c r="X262" s="227">
        <f t="shared" ref="X262:X293" si="39">IF(AND(C262="Smelter not listed",OR(LEN(D262)=0,LEN(E262)=0)),1,0)</f>
        <v>0</v>
      </c>
      <c r="AB262" s="228" t="str">
        <f t="shared" ref="AB262:AB293" si="40">B262&amp;C262</f>
        <v>GoldL'Orfebre S.A.</v>
      </c>
    </row>
    <row r="263" spans="1:28" s="227" customFormat="1" ht="27">
      <c r="A263" s="301" t="s">
        <v>694</v>
      </c>
      <c r="B263" s="293" t="s">
        <v>1119</v>
      </c>
      <c r="C263" s="294" t="s">
        <v>15791</v>
      </c>
      <c r="D263" s="295" t="s">
        <v>16079</v>
      </c>
      <c r="E263" s="293" t="s">
        <v>1101</v>
      </c>
      <c r="F263" s="293" t="s">
        <v>694</v>
      </c>
      <c r="G263" s="293" t="s">
        <v>13217</v>
      </c>
      <c r="H263" s="296" t="s">
        <v>15855</v>
      </c>
      <c r="I263" s="297" t="s">
        <v>1605</v>
      </c>
      <c r="J263" s="297" t="s">
        <v>12845</v>
      </c>
      <c r="K263" s="298" t="s">
        <v>15855</v>
      </c>
      <c r="L263" s="298" t="s">
        <v>15855</v>
      </c>
      <c r="M263" s="298" t="s">
        <v>15855</v>
      </c>
      <c r="N263" s="298" t="s">
        <v>15855</v>
      </c>
      <c r="O263" s="298" t="s">
        <v>16080</v>
      </c>
      <c r="P263" s="299" t="s">
        <v>15857</v>
      </c>
      <c r="Q263" s="300" t="s">
        <v>15855</v>
      </c>
      <c r="R263" s="182" t="str">
        <f ca="1">IF(ISERROR($V263),"",OFFSET('Smelter Look-up'!$C$4,$V263-4,0)&amp;"")</f>
        <v>LS MnM Inc.</v>
      </c>
      <c r="S263" s="181" t="str">
        <f t="shared" ca="1" si="38"/>
        <v>KR</v>
      </c>
      <c r="T263" s="181" t="str">
        <f ca="1">IF(B263="","",IF(ISERROR(MATCH($J263,SorP!$B$1:$B$6226,0)),"",INDIRECT("'SorP'!$A$"&amp;MATCH($S263&amp;$J263,SorP!C:C,0))))</f>
        <v>KR-31</v>
      </c>
      <c r="U263" s="201"/>
      <c r="V263" s="226">
        <f>IF(C263="",NA(),IF(OR(C263="Smelter not listed",C263="Smelter not yet identified"),MATCH($B263&amp;$D263,'Smelter Look-up'!$J:$J,0),MATCH($B263&amp;$C263,'Smelter Look-up'!$J:$J,0)))</f>
        <v>168</v>
      </c>
      <c r="X263" s="227">
        <f t="shared" si="39"/>
        <v>0</v>
      </c>
      <c r="AB263" s="228" t="str">
        <f t="shared" si="40"/>
        <v>GoldLS MnM Inc.</v>
      </c>
    </row>
    <row r="264" spans="1:28" s="227" customFormat="1" ht="54">
      <c r="A264" s="301" t="s">
        <v>694</v>
      </c>
      <c r="B264" s="293" t="s">
        <v>1119</v>
      </c>
      <c r="C264" s="294" t="s">
        <v>16079</v>
      </c>
      <c r="D264" s="295" t="s">
        <v>16079</v>
      </c>
      <c r="E264" s="293" t="s">
        <v>1101</v>
      </c>
      <c r="F264" s="293" t="s">
        <v>694</v>
      </c>
      <c r="G264" s="293" t="s">
        <v>13217</v>
      </c>
      <c r="H264" s="296" t="s">
        <v>15855</v>
      </c>
      <c r="I264" s="297" t="s">
        <v>1605</v>
      </c>
      <c r="J264" s="297" t="s">
        <v>12845</v>
      </c>
      <c r="K264" s="298" t="s">
        <v>15855</v>
      </c>
      <c r="L264" s="298" t="s">
        <v>15855</v>
      </c>
      <c r="M264" s="298" t="s">
        <v>15855</v>
      </c>
      <c r="N264" s="298" t="s">
        <v>15855</v>
      </c>
      <c r="O264" s="298" t="s">
        <v>15855</v>
      </c>
      <c r="P264" s="299" t="s">
        <v>15857</v>
      </c>
      <c r="Q264" s="300" t="s">
        <v>15855</v>
      </c>
      <c r="R264" s="182" t="str">
        <f ca="1">IF(ISERROR($V264),"",OFFSET('Smelter Look-up'!$C$4,$V264-4,0)&amp;"")</f>
        <v/>
      </c>
      <c r="S264" s="181" t="str">
        <f t="shared" ca="1" si="38"/>
        <v>KR</v>
      </c>
      <c r="T264" s="181" t="str">
        <f ca="1">IF(B264="","",IF(ISERROR(MATCH($J264,SorP!$B$1:$B$6226,0)),"",INDIRECT("'SorP'!$A$"&amp;MATCH($S264&amp;$J264,SorP!C:C,0))))</f>
        <v>KR-31</v>
      </c>
      <c r="U264" s="201"/>
      <c r="V264" s="226" t="e">
        <f>IF(C264="",NA(),IF(OR(C264="Smelter not listed",C264="Smelter not yet identified"),MATCH($B264&amp;$D264,'Smelter Look-up'!$J:$J,0),MATCH($B264&amp;$C264,'Smelter Look-up'!$J:$J,0)))</f>
        <v>#N/A</v>
      </c>
      <c r="X264" s="227">
        <f t="shared" si="39"/>
        <v>0</v>
      </c>
      <c r="AB264" s="228" t="str">
        <f t="shared" si="40"/>
        <v>GoldLS-NIKKO Copper Inc.</v>
      </c>
    </row>
    <row r="265" spans="1:28" s="227" customFormat="1" ht="54">
      <c r="A265" s="301" t="s">
        <v>694</v>
      </c>
      <c r="B265" s="293" t="s">
        <v>1119</v>
      </c>
      <c r="C265" s="294" t="s">
        <v>16079</v>
      </c>
      <c r="D265" s="295" t="s">
        <v>16079</v>
      </c>
      <c r="E265" s="293" t="s">
        <v>1101</v>
      </c>
      <c r="F265" s="293" t="s">
        <v>694</v>
      </c>
      <c r="G265" s="293" t="s">
        <v>13217</v>
      </c>
      <c r="H265" s="296" t="s">
        <v>15855</v>
      </c>
      <c r="I265" s="297" t="s">
        <v>1605</v>
      </c>
      <c r="J265" s="297" t="s">
        <v>12845</v>
      </c>
      <c r="K265" s="298" t="s">
        <v>16081</v>
      </c>
      <c r="L265" s="298" t="s">
        <v>16082</v>
      </c>
      <c r="M265" s="298" t="s">
        <v>16083</v>
      </c>
      <c r="N265" s="298" t="s">
        <v>16084</v>
      </c>
      <c r="O265" s="298" t="s">
        <v>16085</v>
      </c>
      <c r="P265" s="299" t="s">
        <v>15857</v>
      </c>
      <c r="Q265" s="300" t="s">
        <v>15855</v>
      </c>
      <c r="R265" s="182" t="str">
        <f ca="1">IF(ISERROR($V265),"",OFFSET('Smelter Look-up'!$C$4,$V265-4,0)&amp;"")</f>
        <v/>
      </c>
      <c r="S265" s="181" t="str">
        <f t="shared" ca="1" si="38"/>
        <v>KR</v>
      </c>
      <c r="T265" s="181" t="str">
        <f ca="1">IF(B265="","",IF(ISERROR(MATCH($J265,SorP!$B$1:$B$6226,0)),"",INDIRECT("'SorP'!$A$"&amp;MATCH($S265&amp;$J265,SorP!C:C,0))))</f>
        <v>KR-31</v>
      </c>
      <c r="U265" s="201"/>
      <c r="V265" s="226" t="e">
        <f>IF(C265="",NA(),IF(OR(C265="Smelter not listed",C265="Smelter not yet identified"),MATCH($B265&amp;$D265,'Smelter Look-up'!$J:$J,0),MATCH($B265&amp;$C265,'Smelter Look-up'!$J:$J,0)))</f>
        <v>#N/A</v>
      </c>
      <c r="X265" s="227">
        <f t="shared" si="39"/>
        <v>0</v>
      </c>
      <c r="AB265" s="228" t="str">
        <f t="shared" si="40"/>
        <v>GoldLS-NIKKO Copper Inc.</v>
      </c>
    </row>
    <row r="266" spans="1:28" s="227" customFormat="1" ht="40.5">
      <c r="A266" s="301" t="s">
        <v>2481</v>
      </c>
      <c r="B266" s="293" t="s">
        <v>1119</v>
      </c>
      <c r="C266" s="294" t="s">
        <v>13818</v>
      </c>
      <c r="D266" s="295" t="s">
        <v>13818</v>
      </c>
      <c r="E266" s="293" t="s">
        <v>1101</v>
      </c>
      <c r="F266" s="293" t="s">
        <v>2481</v>
      </c>
      <c r="G266" s="293" t="s">
        <v>13217</v>
      </c>
      <c r="H266" s="296" t="s">
        <v>15855</v>
      </c>
      <c r="I266" s="297" t="s">
        <v>2482</v>
      </c>
      <c r="J266" s="297" t="s">
        <v>12844</v>
      </c>
      <c r="K266" s="298" t="s">
        <v>15855</v>
      </c>
      <c r="L266" s="298" t="s">
        <v>15855</v>
      </c>
      <c r="M266" s="298" t="s">
        <v>15855</v>
      </c>
      <c r="N266" s="298" t="s">
        <v>15855</v>
      </c>
      <c r="O266" s="298" t="s">
        <v>15855</v>
      </c>
      <c r="P266" s="299" t="s">
        <v>15857</v>
      </c>
      <c r="Q266" s="300" t="s">
        <v>15855</v>
      </c>
      <c r="R266" s="182" t="str">
        <f ca="1">IF(ISERROR($V266),"",OFFSET('Smelter Look-up'!$C$4,$V266-4,0)&amp;"")</f>
        <v>LT Metal Ltd.</v>
      </c>
      <c r="S266" s="181" t="str">
        <f t="shared" ca="1" si="38"/>
        <v>KR</v>
      </c>
      <c r="T266" s="181" t="str">
        <f ca="1">IF(B266="","",IF(ISERROR(MATCH($J266,SorP!$B$1:$B$6226,0)),"",INDIRECT("'SorP'!$A$"&amp;MATCH($S266&amp;$J266,SorP!C:C,0))))</f>
        <v>KR-28</v>
      </c>
      <c r="U266" s="201"/>
      <c r="V266" s="226">
        <f>IF(C266="",NA(),IF(OR(C266="Smelter not listed",C266="Smelter not yet identified"),MATCH($B266&amp;$D266,'Smelter Look-up'!$J:$J,0),MATCH($B266&amp;$C266,'Smelter Look-up'!$J:$J,0)))</f>
        <v>169</v>
      </c>
      <c r="X266" s="227">
        <f t="shared" si="39"/>
        <v>0</v>
      </c>
      <c r="AB266" s="228" t="str">
        <f t="shared" si="40"/>
        <v>GoldLT Metal Ltd.</v>
      </c>
    </row>
    <row r="267" spans="1:28" s="227" customFormat="1" ht="40.5">
      <c r="A267" s="301" t="s">
        <v>2481</v>
      </c>
      <c r="B267" s="293" t="s">
        <v>1119</v>
      </c>
      <c r="C267" s="294" t="s">
        <v>13818</v>
      </c>
      <c r="D267" s="295" t="s">
        <v>13818</v>
      </c>
      <c r="E267" s="293" t="s">
        <v>1101</v>
      </c>
      <c r="F267" s="293" t="s">
        <v>2481</v>
      </c>
      <c r="G267" s="293" t="s">
        <v>13217</v>
      </c>
      <c r="H267" s="296" t="s">
        <v>15855</v>
      </c>
      <c r="I267" s="297" t="s">
        <v>2482</v>
      </c>
      <c r="J267" s="297" t="s">
        <v>12844</v>
      </c>
      <c r="K267" s="298" t="s">
        <v>15855</v>
      </c>
      <c r="L267" s="298" t="s">
        <v>15855</v>
      </c>
      <c r="M267" s="298" t="s">
        <v>15855</v>
      </c>
      <c r="N267" s="298" t="s">
        <v>15855</v>
      </c>
      <c r="O267" s="298" t="s">
        <v>15866</v>
      </c>
      <c r="P267" s="299" t="s">
        <v>15857</v>
      </c>
      <c r="Q267" s="300" t="s">
        <v>15855</v>
      </c>
      <c r="R267" s="182" t="str">
        <f ca="1">IF(ISERROR($V267),"",OFFSET('Smelter Look-up'!$C$4,$V267-4,0)&amp;"")</f>
        <v>LT Metal Ltd.</v>
      </c>
      <c r="S267" s="181" t="str">
        <f t="shared" ca="1" si="38"/>
        <v>KR</v>
      </c>
      <c r="T267" s="181" t="str">
        <f ca="1">IF(B267="","",IF(ISERROR(MATCH($J267,SorP!$B$1:$B$6226,0)),"",INDIRECT("'SorP'!$A$"&amp;MATCH($S267&amp;$J267,SorP!C:C,0))))</f>
        <v>KR-28</v>
      </c>
      <c r="U267" s="201"/>
      <c r="V267" s="226">
        <f>IF(C267="",NA(),IF(OR(C267="Smelter not listed",C267="Smelter not yet identified"),MATCH($B267&amp;$D267,'Smelter Look-up'!$J:$J,0),MATCH($B267&amp;$C267,'Smelter Look-up'!$J:$J,0)))</f>
        <v>169</v>
      </c>
      <c r="X267" s="227">
        <f t="shared" si="39"/>
        <v>0</v>
      </c>
      <c r="AB267" s="228" t="str">
        <f t="shared" si="40"/>
        <v>GoldLT Metal Ltd.</v>
      </c>
    </row>
    <row r="268" spans="1:28" s="227" customFormat="1" ht="40.5">
      <c r="A268" s="301" t="s">
        <v>2481</v>
      </c>
      <c r="B268" s="293" t="s">
        <v>1119</v>
      </c>
      <c r="C268" s="294" t="s">
        <v>13818</v>
      </c>
      <c r="D268" s="295" t="s">
        <v>13818</v>
      </c>
      <c r="E268" s="293" t="s">
        <v>1101</v>
      </c>
      <c r="F268" s="293" t="s">
        <v>2481</v>
      </c>
      <c r="G268" s="293" t="s">
        <v>13217</v>
      </c>
      <c r="H268" s="296" t="s">
        <v>15855</v>
      </c>
      <c r="I268" s="297" t="s">
        <v>2482</v>
      </c>
      <c r="J268" s="297" t="s">
        <v>12844</v>
      </c>
      <c r="K268" s="298" t="s">
        <v>16086</v>
      </c>
      <c r="L268" s="298" t="s">
        <v>16087</v>
      </c>
      <c r="M268" s="298" t="s">
        <v>16088</v>
      </c>
      <c r="N268" s="298" t="s">
        <v>15870</v>
      </c>
      <c r="O268" s="298" t="s">
        <v>15871</v>
      </c>
      <c r="P268" s="299" t="s">
        <v>15857</v>
      </c>
      <c r="Q268" s="300" t="s">
        <v>15855</v>
      </c>
      <c r="R268" s="182" t="str">
        <f ca="1">IF(ISERROR($V268),"",OFFSET('Smelter Look-up'!$C$4,$V268-4,0)&amp;"")</f>
        <v>LT Metal Ltd.</v>
      </c>
      <c r="S268" s="181" t="str">
        <f t="shared" ca="1" si="38"/>
        <v>KR</v>
      </c>
      <c r="T268" s="181" t="str">
        <f ca="1">IF(B268="","",IF(ISERROR(MATCH($J268,SorP!$B$1:$B$6226,0)),"",INDIRECT("'SorP'!$A$"&amp;MATCH($S268&amp;$J268,SorP!C:C,0))))</f>
        <v>KR-28</v>
      </c>
      <c r="U268" s="201"/>
      <c r="V268" s="226">
        <f>IF(C268="",NA(),IF(OR(C268="Smelter not listed",C268="Smelter not yet identified"),MATCH($B268&amp;$D268,'Smelter Look-up'!$J:$J,0),MATCH($B268&amp;$C268,'Smelter Look-up'!$J:$J,0)))</f>
        <v>169</v>
      </c>
      <c r="X268" s="227">
        <f t="shared" si="39"/>
        <v>0</v>
      </c>
      <c r="AB268" s="228" t="str">
        <f t="shared" si="40"/>
        <v>GoldLT Metal Ltd.</v>
      </c>
    </row>
    <row r="269" spans="1:28" s="227" customFormat="1" ht="94.5">
      <c r="A269" s="301" t="s">
        <v>696</v>
      </c>
      <c r="B269" s="293" t="s">
        <v>1119</v>
      </c>
      <c r="C269" s="294" t="s">
        <v>1606</v>
      </c>
      <c r="D269" s="295" t="s">
        <v>1606</v>
      </c>
      <c r="E269" s="293" t="s">
        <v>1090</v>
      </c>
      <c r="F269" s="293" t="s">
        <v>696</v>
      </c>
      <c r="G269" s="293" t="s">
        <v>13217</v>
      </c>
      <c r="H269" s="296" t="s">
        <v>15855</v>
      </c>
      <c r="I269" s="297" t="s">
        <v>1607</v>
      </c>
      <c r="J269" s="297" t="s">
        <v>13598</v>
      </c>
      <c r="K269" s="298" t="s">
        <v>15855</v>
      </c>
      <c r="L269" s="298" t="s">
        <v>15855</v>
      </c>
      <c r="M269" s="298" t="s">
        <v>15855</v>
      </c>
      <c r="N269" s="298" t="s">
        <v>15855</v>
      </c>
      <c r="O269" s="298" t="s">
        <v>15858</v>
      </c>
      <c r="P269" s="299" t="s">
        <v>15857</v>
      </c>
      <c r="Q269" s="300" t="s">
        <v>15855</v>
      </c>
      <c r="R269" s="182" t="str">
        <f ca="1">IF(ISERROR($V269),"",OFFSET('Smelter Look-up'!$C$4,$V269-4,0)&amp;"")</f>
        <v>Luoyang Zijin Yinhui Gold Refinery Co., Ltd.</v>
      </c>
      <c r="S269" s="181" t="str">
        <f t="shared" ca="1" si="38"/>
        <v>CN</v>
      </c>
      <c r="T269" s="181" t="str">
        <f ca="1">IF(B269="","",IF(ISERROR(MATCH($J269,SorP!$B$1:$B$6226,0)),"",INDIRECT("'SorP'!$A$"&amp;MATCH($S269&amp;$J269,SorP!C:C,0))))</f>
        <v>CN-HA</v>
      </c>
      <c r="U269" s="201"/>
      <c r="V269" s="226">
        <f>IF(C269="",NA(),IF(OR(C269="Smelter not listed",C269="Smelter not yet identified"),MATCH($B269&amp;$D269,'Smelter Look-up'!$J:$J,0),MATCH($B269&amp;$C269,'Smelter Look-up'!$J:$J,0)))</f>
        <v>170</v>
      </c>
      <c r="X269" s="227">
        <f t="shared" si="39"/>
        <v>0</v>
      </c>
      <c r="AB269" s="228" t="str">
        <f t="shared" si="40"/>
        <v>GoldLuoyang Zijin Yinhui Gold Refinery Co., Ltd.</v>
      </c>
    </row>
    <row r="270" spans="1:28" s="227" customFormat="1" ht="40.5">
      <c r="A270" s="301" t="s">
        <v>2492</v>
      </c>
      <c r="B270" s="293" t="s">
        <v>1119</v>
      </c>
      <c r="C270" s="294" t="s">
        <v>2491</v>
      </c>
      <c r="D270" s="295" t="s">
        <v>2491</v>
      </c>
      <c r="E270" s="293" t="s">
        <v>1086</v>
      </c>
      <c r="F270" s="293" t="s">
        <v>2492</v>
      </c>
      <c r="G270" s="293" t="s">
        <v>13217</v>
      </c>
      <c r="H270" s="296" t="s">
        <v>15855</v>
      </c>
      <c r="I270" s="297" t="s">
        <v>2493</v>
      </c>
      <c r="J270" s="297" t="s">
        <v>1666</v>
      </c>
      <c r="K270" s="298" t="s">
        <v>15855</v>
      </c>
      <c r="L270" s="298" t="s">
        <v>15855</v>
      </c>
      <c r="M270" s="298" t="s">
        <v>15855</v>
      </c>
      <c r="N270" s="298" t="s">
        <v>15855</v>
      </c>
      <c r="O270" s="298" t="s">
        <v>15855</v>
      </c>
      <c r="P270" s="299" t="s">
        <v>15857</v>
      </c>
      <c r="Q270" s="300" t="s">
        <v>15855</v>
      </c>
      <c r="R270" s="182" t="str">
        <f ca="1">IF(ISERROR($V270),"",OFFSET('Smelter Look-up'!$C$4,$V270-4,0)&amp;"")</f>
        <v>Marsam Metals</v>
      </c>
      <c r="S270" s="181" t="str">
        <f t="shared" ca="1" si="38"/>
        <v>BR</v>
      </c>
      <c r="T270" s="181" t="str">
        <f ca="1">IF(B270="","",IF(ISERROR(MATCH($J270,SorP!$B$1:$B$6226,0)),"",INDIRECT("'SorP'!$A$"&amp;MATCH($S270&amp;$J270,SorP!C:C,0))))</f>
        <v>BR-SP</v>
      </c>
      <c r="U270" s="201"/>
      <c r="V270" s="226">
        <f>IF(C270="",NA(),IF(OR(C270="Smelter not listed",C270="Smelter not yet identified"),MATCH($B270&amp;$D270,'Smelter Look-up'!$J:$J,0),MATCH($B270&amp;$C270,'Smelter Look-up'!$J:$J,0)))</f>
        <v>173</v>
      </c>
      <c r="X270" s="227">
        <f t="shared" si="39"/>
        <v>0</v>
      </c>
      <c r="AB270" s="228" t="str">
        <f t="shared" si="40"/>
        <v>GoldMarsam Metals</v>
      </c>
    </row>
    <row r="271" spans="1:28" s="227" customFormat="1" ht="40.5">
      <c r="A271" s="301" t="s">
        <v>2492</v>
      </c>
      <c r="B271" s="293" t="s">
        <v>1119</v>
      </c>
      <c r="C271" s="294" t="s">
        <v>2491</v>
      </c>
      <c r="D271" s="295" t="s">
        <v>2491</v>
      </c>
      <c r="E271" s="293" t="s">
        <v>1086</v>
      </c>
      <c r="F271" s="293" t="s">
        <v>2492</v>
      </c>
      <c r="G271" s="293" t="s">
        <v>13217</v>
      </c>
      <c r="H271" s="296" t="s">
        <v>15855</v>
      </c>
      <c r="I271" s="297" t="s">
        <v>2493</v>
      </c>
      <c r="J271" s="297" t="s">
        <v>1666</v>
      </c>
      <c r="K271" s="298" t="s">
        <v>15855</v>
      </c>
      <c r="L271" s="298" t="s">
        <v>15855</v>
      </c>
      <c r="M271" s="298" t="s">
        <v>15855</v>
      </c>
      <c r="N271" s="298" t="s">
        <v>15855</v>
      </c>
      <c r="O271" s="298" t="s">
        <v>15858</v>
      </c>
      <c r="P271" s="299" t="s">
        <v>15857</v>
      </c>
      <c r="Q271" s="300" t="s">
        <v>15855</v>
      </c>
      <c r="R271" s="182" t="str">
        <f ca="1">IF(ISERROR($V271),"",OFFSET('Smelter Look-up'!$C$4,$V271-4,0)&amp;"")</f>
        <v>Marsam Metals</v>
      </c>
      <c r="S271" s="181" t="str">
        <f t="shared" ca="1" si="38"/>
        <v>BR</v>
      </c>
      <c r="T271" s="181" t="str">
        <f ca="1">IF(B271="","",IF(ISERROR(MATCH($J271,SorP!$B$1:$B$6226,0)),"",INDIRECT("'SorP'!$A$"&amp;MATCH($S271&amp;$J271,SorP!C:C,0))))</f>
        <v>BR-SP</v>
      </c>
      <c r="U271" s="201"/>
      <c r="V271" s="226">
        <f>IF(C271="",NA(),IF(OR(C271="Smelter not listed",C271="Smelter not yet identified"),MATCH($B271&amp;$D271,'Smelter Look-up'!$J:$J,0),MATCH($B271&amp;$C271,'Smelter Look-up'!$J:$J,0)))</f>
        <v>173</v>
      </c>
      <c r="X271" s="227">
        <f t="shared" si="39"/>
        <v>0</v>
      </c>
      <c r="AB271" s="228" t="str">
        <f t="shared" si="40"/>
        <v>GoldMarsam Metals</v>
      </c>
    </row>
    <row r="272" spans="1:28" s="227" customFormat="1" ht="40.5">
      <c r="A272" s="301" t="s">
        <v>2492</v>
      </c>
      <c r="B272" s="293" t="s">
        <v>1119</v>
      </c>
      <c r="C272" s="294" t="s">
        <v>2491</v>
      </c>
      <c r="D272" s="295" t="s">
        <v>2491</v>
      </c>
      <c r="E272" s="293" t="s">
        <v>1086</v>
      </c>
      <c r="F272" s="293" t="s">
        <v>2492</v>
      </c>
      <c r="G272" s="293" t="s">
        <v>13217</v>
      </c>
      <c r="H272" s="296" t="s">
        <v>15855</v>
      </c>
      <c r="I272" s="297" t="s">
        <v>2493</v>
      </c>
      <c r="J272" s="297" t="s">
        <v>1666</v>
      </c>
      <c r="K272" s="298" t="s">
        <v>16089</v>
      </c>
      <c r="L272" s="298" t="s">
        <v>16090</v>
      </c>
      <c r="M272" s="298" t="s">
        <v>15869</v>
      </c>
      <c r="N272" s="298" t="s">
        <v>15870</v>
      </c>
      <c r="O272" s="298" t="s">
        <v>15871</v>
      </c>
      <c r="P272" s="299" t="s">
        <v>15857</v>
      </c>
      <c r="Q272" s="300" t="s">
        <v>15855</v>
      </c>
      <c r="R272" s="182" t="str">
        <f ca="1">IF(ISERROR($V272),"",OFFSET('Smelter Look-up'!$C$4,$V272-4,0)&amp;"")</f>
        <v>Marsam Metals</v>
      </c>
      <c r="S272" s="181" t="str">
        <f t="shared" ca="1" si="38"/>
        <v>BR</v>
      </c>
      <c r="T272" s="181" t="str">
        <f ca="1">IF(B272="","",IF(ISERROR(MATCH($J272,SorP!$B$1:$B$6226,0)),"",INDIRECT("'SorP'!$A$"&amp;MATCH($S272&amp;$J272,SorP!C:C,0))))</f>
        <v>BR-SP</v>
      </c>
      <c r="U272" s="201"/>
      <c r="V272" s="226">
        <f>IF(C272="",NA(),IF(OR(C272="Smelter not listed",C272="Smelter not yet identified"),MATCH($B272&amp;$D272,'Smelter Look-up'!$J:$J,0),MATCH($B272&amp;$C272,'Smelter Look-up'!$J:$J,0)))</f>
        <v>173</v>
      </c>
      <c r="X272" s="227">
        <f t="shared" si="39"/>
        <v>0</v>
      </c>
      <c r="AB272" s="228" t="str">
        <f t="shared" si="40"/>
        <v>GoldMarsam Metals</v>
      </c>
    </row>
    <row r="273" spans="1:28" s="227" customFormat="1" ht="27">
      <c r="A273" s="301" t="s">
        <v>697</v>
      </c>
      <c r="B273" s="293" t="s">
        <v>1119</v>
      </c>
      <c r="C273" s="294" t="s">
        <v>900</v>
      </c>
      <c r="D273" s="295" t="s">
        <v>900</v>
      </c>
      <c r="E273" s="293" t="s">
        <v>2415</v>
      </c>
      <c r="F273" s="293" t="s">
        <v>697</v>
      </c>
      <c r="G273" s="293" t="s">
        <v>13217</v>
      </c>
      <c r="H273" s="296" t="s">
        <v>15855</v>
      </c>
      <c r="I273" s="297" t="s">
        <v>1608</v>
      </c>
      <c r="J273" s="297" t="s">
        <v>1609</v>
      </c>
      <c r="K273" s="298" t="s">
        <v>15855</v>
      </c>
      <c r="L273" s="298" t="s">
        <v>15855</v>
      </c>
      <c r="M273" s="298" t="s">
        <v>15855</v>
      </c>
      <c r="N273" s="298" t="s">
        <v>15855</v>
      </c>
      <c r="O273" s="298" t="s">
        <v>15855</v>
      </c>
      <c r="P273" s="299" t="s">
        <v>15857</v>
      </c>
      <c r="Q273" s="300" t="s">
        <v>15855</v>
      </c>
      <c r="R273" s="182" t="str">
        <f ca="1">IF(ISERROR($V273),"",OFFSET('Smelter Look-up'!$C$4,$V273-4,0)&amp;"")</f>
        <v>Materion</v>
      </c>
      <c r="S273" s="181" t="str">
        <f t="shared" ca="1" si="38"/>
        <v>US</v>
      </c>
      <c r="T273" s="181" t="str">
        <f ca="1">IF(B273="","",IF(ISERROR(MATCH($J273,SorP!$B$1:$B$6226,0)),"",INDIRECT("'SorP'!$A$"&amp;MATCH($S273&amp;$J273,SorP!C:C,0))))</f>
        <v>US-NY</v>
      </c>
      <c r="U273" s="201"/>
      <c r="V273" s="226">
        <f>IF(C273="",NA(),IF(OR(C273="Smelter not listed",C273="Smelter not yet identified"),MATCH($B273&amp;$D273,'Smelter Look-up'!$J:$J,0),MATCH($B273&amp;$C273,'Smelter Look-up'!$J:$J,0)))</f>
        <v>174</v>
      </c>
      <c r="X273" s="227">
        <f t="shared" si="39"/>
        <v>0</v>
      </c>
      <c r="AB273" s="228" t="str">
        <f t="shared" si="40"/>
        <v>GoldMaterion</v>
      </c>
    </row>
    <row r="274" spans="1:28" s="227" customFormat="1" ht="27">
      <c r="A274" s="301" t="s">
        <v>697</v>
      </c>
      <c r="B274" s="293" t="s">
        <v>1119</v>
      </c>
      <c r="C274" s="294" t="s">
        <v>900</v>
      </c>
      <c r="D274" s="295" t="s">
        <v>900</v>
      </c>
      <c r="E274" s="293" t="s">
        <v>2415</v>
      </c>
      <c r="F274" s="293" t="s">
        <v>697</v>
      </c>
      <c r="G274" s="293" t="s">
        <v>13217</v>
      </c>
      <c r="H274" s="296" t="s">
        <v>15855</v>
      </c>
      <c r="I274" s="297" t="s">
        <v>1608</v>
      </c>
      <c r="J274" s="297" t="s">
        <v>1609</v>
      </c>
      <c r="K274" s="298" t="s">
        <v>15855</v>
      </c>
      <c r="L274" s="298" t="s">
        <v>15855</v>
      </c>
      <c r="M274" s="298" t="s">
        <v>15855</v>
      </c>
      <c r="N274" s="298" t="s">
        <v>15855</v>
      </c>
      <c r="O274" s="298" t="s">
        <v>15925</v>
      </c>
      <c r="P274" s="299" t="s">
        <v>15857</v>
      </c>
      <c r="Q274" s="300" t="s">
        <v>15855</v>
      </c>
      <c r="R274" s="182" t="str">
        <f ca="1">IF(ISERROR($V274),"",OFFSET('Smelter Look-up'!$C$4,$V274-4,0)&amp;"")</f>
        <v>Materion</v>
      </c>
      <c r="S274" s="181" t="str">
        <f t="shared" ca="1" si="38"/>
        <v>US</v>
      </c>
      <c r="T274" s="181" t="str">
        <f ca="1">IF(B274="","",IF(ISERROR(MATCH($J274,SorP!$B$1:$B$6226,0)),"",INDIRECT("'SorP'!$A$"&amp;MATCH($S274&amp;$J274,SorP!C:C,0))))</f>
        <v>US-NY</v>
      </c>
      <c r="U274" s="201"/>
      <c r="V274" s="226">
        <f>IF(C274="",NA(),IF(OR(C274="Smelter not listed",C274="Smelter not yet identified"),MATCH($B274&amp;$D274,'Smelter Look-up'!$J:$J,0),MATCH($B274&amp;$C274,'Smelter Look-up'!$J:$J,0)))</f>
        <v>174</v>
      </c>
      <c r="X274" s="227">
        <f t="shared" si="39"/>
        <v>0</v>
      </c>
      <c r="AB274" s="228" t="str">
        <f t="shared" si="40"/>
        <v>GoldMaterion</v>
      </c>
    </row>
    <row r="275" spans="1:28" s="227" customFormat="1" ht="27">
      <c r="A275" s="301" t="s">
        <v>697</v>
      </c>
      <c r="B275" s="293" t="s">
        <v>1119</v>
      </c>
      <c r="C275" s="294" t="s">
        <v>900</v>
      </c>
      <c r="D275" s="295" t="s">
        <v>900</v>
      </c>
      <c r="E275" s="293" t="s">
        <v>2415</v>
      </c>
      <c r="F275" s="293" t="s">
        <v>697</v>
      </c>
      <c r="G275" s="293" t="s">
        <v>13217</v>
      </c>
      <c r="H275" s="296" t="s">
        <v>15855</v>
      </c>
      <c r="I275" s="297" t="s">
        <v>1608</v>
      </c>
      <c r="J275" s="297" t="s">
        <v>1609</v>
      </c>
      <c r="K275" s="298" t="s">
        <v>16091</v>
      </c>
      <c r="L275" s="298" t="s">
        <v>16092</v>
      </c>
      <c r="M275" s="298" t="s">
        <v>15869</v>
      </c>
      <c r="N275" s="298" t="s">
        <v>15876</v>
      </c>
      <c r="O275" s="298" t="s">
        <v>15879</v>
      </c>
      <c r="P275" s="299" t="s">
        <v>15875</v>
      </c>
      <c r="Q275" s="300" t="s">
        <v>15855</v>
      </c>
      <c r="R275" s="182" t="str">
        <f ca="1">IF(ISERROR($V275),"",OFFSET('Smelter Look-up'!$C$4,$V275-4,0)&amp;"")</f>
        <v>Materion</v>
      </c>
      <c r="S275" s="181" t="str">
        <f t="shared" ca="1" si="38"/>
        <v>US</v>
      </c>
      <c r="T275" s="181" t="str">
        <f ca="1">IF(B275="","",IF(ISERROR(MATCH($J275,SorP!$B$1:$B$6226,0)),"",INDIRECT("'SorP'!$A$"&amp;MATCH($S275&amp;$J275,SorP!C:C,0))))</f>
        <v>US-NY</v>
      </c>
      <c r="U275" s="201"/>
      <c r="V275" s="226">
        <f>IF(C275="",NA(),IF(OR(C275="Smelter not listed",C275="Smelter not yet identified"),MATCH($B275&amp;$D275,'Smelter Look-up'!$J:$J,0),MATCH($B275&amp;$C275,'Smelter Look-up'!$J:$J,0)))</f>
        <v>174</v>
      </c>
      <c r="X275" s="227">
        <f t="shared" si="39"/>
        <v>0</v>
      </c>
      <c r="AB275" s="228" t="str">
        <f t="shared" si="40"/>
        <v>GoldMaterion</v>
      </c>
    </row>
    <row r="276" spans="1:28" s="227" customFormat="1" ht="54">
      <c r="A276" s="301" t="s">
        <v>698</v>
      </c>
      <c r="B276" s="293" t="s">
        <v>1119</v>
      </c>
      <c r="C276" s="294" t="s">
        <v>54</v>
      </c>
      <c r="D276" s="295" t="s">
        <v>54</v>
      </c>
      <c r="E276" s="293" t="s">
        <v>1098</v>
      </c>
      <c r="F276" s="293" t="s">
        <v>698</v>
      </c>
      <c r="G276" s="293" t="s">
        <v>13217</v>
      </c>
      <c r="H276" s="296" t="s">
        <v>15855</v>
      </c>
      <c r="I276" s="297" t="s">
        <v>1610</v>
      </c>
      <c r="J276" s="297" t="s">
        <v>1573</v>
      </c>
      <c r="K276" s="298" t="s">
        <v>15855</v>
      </c>
      <c r="L276" s="298" t="s">
        <v>15855</v>
      </c>
      <c r="M276" s="298" t="s">
        <v>15855</v>
      </c>
      <c r="N276" s="298" t="s">
        <v>15855</v>
      </c>
      <c r="O276" s="298" t="s">
        <v>15855</v>
      </c>
      <c r="P276" s="299" t="s">
        <v>15857</v>
      </c>
      <c r="Q276" s="300" t="s">
        <v>15855</v>
      </c>
      <c r="R276" s="182" t="str">
        <f ca="1">IF(ISERROR($V276),"",OFFSET('Smelter Look-up'!$C$4,$V276-4,0)&amp;"")</f>
        <v>Matsuda Sangyo Co., Ltd.</v>
      </c>
      <c r="S276" s="181" t="str">
        <f t="shared" ca="1" si="38"/>
        <v>JP</v>
      </c>
      <c r="T276" s="181" t="str">
        <f ca="1">IF(B276="","",IF(ISERROR(MATCH($J276,SorP!$B$1:$B$6226,0)),"",INDIRECT("'SorP'!$A$"&amp;MATCH($S276&amp;$J276,SorP!C:C,0))))</f>
        <v>JP-11</v>
      </c>
      <c r="U276" s="201"/>
      <c r="V276" s="226">
        <f>IF(C276="",NA(),IF(OR(C276="Smelter not listed",C276="Smelter not yet identified"),MATCH($B276&amp;$D276,'Smelter Look-up'!$J:$J,0),MATCH($B276&amp;$C276,'Smelter Look-up'!$J:$J,0)))</f>
        <v>175</v>
      </c>
      <c r="X276" s="227">
        <f t="shared" si="39"/>
        <v>0</v>
      </c>
      <c r="AB276" s="228" t="str">
        <f t="shared" si="40"/>
        <v>GoldMatsuda Sangyo Co., Ltd.</v>
      </c>
    </row>
    <row r="277" spans="1:28" s="227" customFormat="1" ht="54">
      <c r="A277" s="301" t="s">
        <v>698</v>
      </c>
      <c r="B277" s="293" t="s">
        <v>1119</v>
      </c>
      <c r="C277" s="294" t="s">
        <v>54</v>
      </c>
      <c r="D277" s="295" t="s">
        <v>54</v>
      </c>
      <c r="E277" s="293" t="s">
        <v>1098</v>
      </c>
      <c r="F277" s="293" t="s">
        <v>698</v>
      </c>
      <c r="G277" s="293" t="s">
        <v>13217</v>
      </c>
      <c r="H277" s="296" t="s">
        <v>15855</v>
      </c>
      <c r="I277" s="297" t="s">
        <v>1610</v>
      </c>
      <c r="J277" s="297" t="s">
        <v>1573</v>
      </c>
      <c r="K277" s="298" t="s">
        <v>15855</v>
      </c>
      <c r="L277" s="298" t="s">
        <v>15855</v>
      </c>
      <c r="M277" s="298" t="s">
        <v>15855</v>
      </c>
      <c r="N277" s="298" t="s">
        <v>15855</v>
      </c>
      <c r="O277" s="298" t="s">
        <v>15855</v>
      </c>
      <c r="P277" s="299" t="s">
        <v>15857</v>
      </c>
      <c r="Q277" s="300" t="s">
        <v>15907</v>
      </c>
      <c r="R277" s="182" t="str">
        <f ca="1">IF(ISERROR($V277),"",OFFSET('Smelter Look-up'!$C$4,$V277-4,0)&amp;"")</f>
        <v>Matsuda Sangyo Co., Ltd.</v>
      </c>
      <c r="S277" s="181" t="str">
        <f t="shared" ca="1" si="38"/>
        <v>JP</v>
      </c>
      <c r="T277" s="181" t="str">
        <f ca="1">IF(B277="","",IF(ISERROR(MATCH($J277,SorP!$B$1:$B$6226,0)),"",INDIRECT("'SorP'!$A$"&amp;MATCH($S277&amp;$J277,SorP!C:C,0))))</f>
        <v>JP-11</v>
      </c>
      <c r="U277" s="201"/>
      <c r="V277" s="226">
        <f>IF(C277="",NA(),IF(OR(C277="Smelter not listed",C277="Smelter not yet identified"),MATCH($B277&amp;$D277,'Smelter Look-up'!$J:$J,0),MATCH($B277&amp;$C277,'Smelter Look-up'!$J:$J,0)))</f>
        <v>175</v>
      </c>
      <c r="X277" s="227">
        <f t="shared" si="39"/>
        <v>0</v>
      </c>
      <c r="AB277" s="228" t="str">
        <f t="shared" si="40"/>
        <v>GoldMatsuda Sangyo Co., Ltd.</v>
      </c>
    </row>
    <row r="278" spans="1:28" s="227" customFormat="1" ht="54">
      <c r="A278" s="301" t="s">
        <v>698</v>
      </c>
      <c r="B278" s="293" t="s">
        <v>1119</v>
      </c>
      <c r="C278" s="294" t="s">
        <v>54</v>
      </c>
      <c r="D278" s="295" t="s">
        <v>54</v>
      </c>
      <c r="E278" s="293" t="s">
        <v>1098</v>
      </c>
      <c r="F278" s="293" t="s">
        <v>698</v>
      </c>
      <c r="G278" s="293" t="s">
        <v>13217</v>
      </c>
      <c r="H278" s="296" t="s">
        <v>15855</v>
      </c>
      <c r="I278" s="297" t="s">
        <v>1610</v>
      </c>
      <c r="J278" s="297" t="s">
        <v>1573</v>
      </c>
      <c r="K278" s="298" t="s">
        <v>15855</v>
      </c>
      <c r="L278" s="298" t="s">
        <v>15855</v>
      </c>
      <c r="M278" s="298" t="s">
        <v>15855</v>
      </c>
      <c r="N278" s="298" t="s">
        <v>15855</v>
      </c>
      <c r="O278" s="298" t="s">
        <v>15855</v>
      </c>
      <c r="P278" s="299" t="s">
        <v>15875</v>
      </c>
      <c r="Q278" s="300" t="s">
        <v>15855</v>
      </c>
      <c r="R278" s="182" t="str">
        <f ca="1">IF(ISERROR($V278),"",OFFSET('Smelter Look-up'!$C$4,$V278-4,0)&amp;"")</f>
        <v>Matsuda Sangyo Co., Ltd.</v>
      </c>
      <c r="S278" s="181" t="str">
        <f t="shared" ca="1" si="38"/>
        <v>JP</v>
      </c>
      <c r="T278" s="181" t="str">
        <f ca="1">IF(B278="","",IF(ISERROR(MATCH($J278,SorP!$B$1:$B$6226,0)),"",INDIRECT("'SorP'!$A$"&amp;MATCH($S278&amp;$J278,SorP!C:C,0))))</f>
        <v>JP-11</v>
      </c>
      <c r="U278" s="201"/>
      <c r="V278" s="226">
        <f>IF(C278="",NA(),IF(OR(C278="Smelter not listed",C278="Smelter not yet identified"),MATCH($B278&amp;$D278,'Smelter Look-up'!$J:$J,0),MATCH($B278&amp;$C278,'Smelter Look-up'!$J:$J,0)))</f>
        <v>175</v>
      </c>
      <c r="X278" s="227">
        <f t="shared" si="39"/>
        <v>0</v>
      </c>
      <c r="AB278" s="228" t="str">
        <f t="shared" si="40"/>
        <v>GoldMatsuda Sangyo Co., Ltd.</v>
      </c>
    </row>
    <row r="279" spans="1:28" s="227" customFormat="1" ht="54">
      <c r="A279" s="301" t="s">
        <v>698</v>
      </c>
      <c r="B279" s="293" t="s">
        <v>1119</v>
      </c>
      <c r="C279" s="294" t="s">
        <v>54</v>
      </c>
      <c r="D279" s="295" t="s">
        <v>54</v>
      </c>
      <c r="E279" s="293" t="s">
        <v>1098</v>
      </c>
      <c r="F279" s="293" t="s">
        <v>698</v>
      </c>
      <c r="G279" s="293" t="s">
        <v>13217</v>
      </c>
      <c r="H279" s="296" t="s">
        <v>15855</v>
      </c>
      <c r="I279" s="297" t="s">
        <v>1610</v>
      </c>
      <c r="J279" s="297" t="s">
        <v>1573</v>
      </c>
      <c r="K279" s="298" t="s">
        <v>15855</v>
      </c>
      <c r="L279" s="298" t="s">
        <v>15855</v>
      </c>
      <c r="M279" s="298" t="s">
        <v>15855</v>
      </c>
      <c r="N279" s="298" t="s">
        <v>15855</v>
      </c>
      <c r="O279" s="298" t="s">
        <v>16093</v>
      </c>
      <c r="P279" s="299" t="s">
        <v>15857</v>
      </c>
      <c r="Q279" s="300" t="s">
        <v>15855</v>
      </c>
      <c r="R279" s="182" t="str">
        <f ca="1">IF(ISERROR($V279),"",OFFSET('Smelter Look-up'!$C$4,$V279-4,0)&amp;"")</f>
        <v>Matsuda Sangyo Co., Ltd.</v>
      </c>
      <c r="S279" s="181" t="str">
        <f t="shared" ca="1" si="38"/>
        <v>JP</v>
      </c>
      <c r="T279" s="181" t="str">
        <f ca="1">IF(B279="","",IF(ISERROR(MATCH($J279,SorP!$B$1:$B$6226,0)),"",INDIRECT("'SorP'!$A$"&amp;MATCH($S279&amp;$J279,SorP!C:C,0))))</f>
        <v>JP-11</v>
      </c>
      <c r="U279" s="201"/>
      <c r="V279" s="226">
        <f>IF(C279="",NA(),IF(OR(C279="Smelter not listed",C279="Smelter not yet identified"),MATCH($B279&amp;$D279,'Smelter Look-up'!$J:$J,0),MATCH($B279&amp;$C279,'Smelter Look-up'!$J:$J,0)))</f>
        <v>175</v>
      </c>
      <c r="X279" s="227">
        <f t="shared" si="39"/>
        <v>0</v>
      </c>
      <c r="AB279" s="228" t="str">
        <f t="shared" si="40"/>
        <v>GoldMatsuda Sangyo Co., Ltd.</v>
      </c>
    </row>
    <row r="280" spans="1:28" s="227" customFormat="1" ht="54">
      <c r="A280" s="301" t="s">
        <v>698</v>
      </c>
      <c r="B280" s="293" t="s">
        <v>1119</v>
      </c>
      <c r="C280" s="294" t="s">
        <v>54</v>
      </c>
      <c r="D280" s="295" t="s">
        <v>54</v>
      </c>
      <c r="E280" s="293" t="s">
        <v>1098</v>
      </c>
      <c r="F280" s="293" t="s">
        <v>698</v>
      </c>
      <c r="G280" s="293" t="s">
        <v>13217</v>
      </c>
      <c r="H280" s="296" t="s">
        <v>15855</v>
      </c>
      <c r="I280" s="297" t="s">
        <v>1610</v>
      </c>
      <c r="J280" s="297" t="s">
        <v>1573</v>
      </c>
      <c r="K280" s="298" t="s">
        <v>15855</v>
      </c>
      <c r="L280" s="298" t="s">
        <v>15855</v>
      </c>
      <c r="M280" s="298" t="s">
        <v>15855</v>
      </c>
      <c r="N280" s="298" t="s">
        <v>16017</v>
      </c>
      <c r="O280" s="298" t="s">
        <v>16017</v>
      </c>
      <c r="P280" s="299" t="s">
        <v>15875</v>
      </c>
      <c r="Q280" s="300" t="s">
        <v>16047</v>
      </c>
      <c r="R280" s="182" t="str">
        <f ca="1">IF(ISERROR($V280),"",OFFSET('Smelter Look-up'!$C$4,$V280-4,0)&amp;"")</f>
        <v>Matsuda Sangyo Co., Ltd.</v>
      </c>
      <c r="S280" s="181" t="str">
        <f t="shared" ca="1" si="38"/>
        <v>JP</v>
      </c>
      <c r="T280" s="181" t="str">
        <f ca="1">IF(B280="","",IF(ISERROR(MATCH($J280,SorP!$B$1:$B$6226,0)),"",INDIRECT("'SorP'!$A$"&amp;MATCH($S280&amp;$J280,SorP!C:C,0))))</f>
        <v>JP-11</v>
      </c>
      <c r="U280" s="201"/>
      <c r="V280" s="226">
        <f>IF(C280="",NA(),IF(OR(C280="Smelter not listed",C280="Smelter not yet identified"),MATCH($B280&amp;$D280,'Smelter Look-up'!$J:$J,0),MATCH($B280&amp;$C280,'Smelter Look-up'!$J:$J,0)))</f>
        <v>175</v>
      </c>
      <c r="X280" s="227">
        <f t="shared" si="39"/>
        <v>0</v>
      </c>
      <c r="AB280" s="228" t="str">
        <f t="shared" si="40"/>
        <v>GoldMatsuda Sangyo Co., Ltd.</v>
      </c>
    </row>
    <row r="281" spans="1:28" s="227" customFormat="1" ht="54">
      <c r="A281" s="301" t="s">
        <v>698</v>
      </c>
      <c r="B281" s="293" t="s">
        <v>1119</v>
      </c>
      <c r="C281" s="294" t="s">
        <v>54</v>
      </c>
      <c r="D281" s="295" t="s">
        <v>54</v>
      </c>
      <c r="E281" s="293" t="s">
        <v>1098</v>
      </c>
      <c r="F281" s="293" t="s">
        <v>698</v>
      </c>
      <c r="G281" s="293" t="s">
        <v>13217</v>
      </c>
      <c r="H281" s="296" t="s">
        <v>15855</v>
      </c>
      <c r="I281" s="297" t="s">
        <v>1610</v>
      </c>
      <c r="J281" s="297" t="s">
        <v>1573</v>
      </c>
      <c r="K281" s="298" t="s">
        <v>16094</v>
      </c>
      <c r="L281" s="298" t="s">
        <v>16095</v>
      </c>
      <c r="M281" s="298" t="s">
        <v>15892</v>
      </c>
      <c r="N281" s="298" t="s">
        <v>16096</v>
      </c>
      <c r="O281" s="298" t="s">
        <v>16097</v>
      </c>
      <c r="P281" s="299" t="s">
        <v>15875</v>
      </c>
      <c r="Q281" s="300" t="s">
        <v>15855</v>
      </c>
      <c r="R281" s="182" t="str">
        <f ca="1">IF(ISERROR($V281),"",OFFSET('Smelter Look-up'!$C$4,$V281-4,0)&amp;"")</f>
        <v>Matsuda Sangyo Co., Ltd.</v>
      </c>
      <c r="S281" s="181" t="str">
        <f t="shared" ca="1" si="38"/>
        <v>JP</v>
      </c>
      <c r="T281" s="181" t="str">
        <f ca="1">IF(B281="","",IF(ISERROR(MATCH($J281,SorP!$B$1:$B$6226,0)),"",INDIRECT("'SorP'!$A$"&amp;MATCH($S281&amp;$J281,SorP!C:C,0))))</f>
        <v>JP-11</v>
      </c>
      <c r="U281" s="201"/>
      <c r="V281" s="226">
        <f>IF(C281="",NA(),IF(OR(C281="Smelter not listed",C281="Smelter not yet identified"),MATCH($B281&amp;$D281,'Smelter Look-up'!$J:$J,0),MATCH($B281&amp;$C281,'Smelter Look-up'!$J:$J,0)))</f>
        <v>175</v>
      </c>
      <c r="X281" s="227">
        <f t="shared" si="39"/>
        <v>0</v>
      </c>
      <c r="AB281" s="228" t="str">
        <f t="shared" si="40"/>
        <v>GoldMatsuda Sangyo Co., Ltd.</v>
      </c>
    </row>
    <row r="282" spans="1:28" s="227" customFormat="1" ht="54">
      <c r="A282" s="301" t="s">
        <v>698</v>
      </c>
      <c r="B282" s="293" t="s">
        <v>1119</v>
      </c>
      <c r="C282" s="294" t="s">
        <v>54</v>
      </c>
      <c r="D282" s="295" t="s">
        <v>54</v>
      </c>
      <c r="E282" s="293" t="s">
        <v>1098</v>
      </c>
      <c r="F282" s="293" t="s">
        <v>698</v>
      </c>
      <c r="G282" s="293" t="s">
        <v>13217</v>
      </c>
      <c r="H282" s="302" t="s">
        <v>15880</v>
      </c>
      <c r="I282" s="297" t="s">
        <v>1610</v>
      </c>
      <c r="J282" s="297" t="s">
        <v>1573</v>
      </c>
      <c r="K282" s="298" t="s">
        <v>15855</v>
      </c>
      <c r="L282" s="298" t="s">
        <v>15855</v>
      </c>
      <c r="M282" s="298" t="s">
        <v>15855</v>
      </c>
      <c r="N282" s="298" t="s">
        <v>15855</v>
      </c>
      <c r="O282" s="298" t="s">
        <v>15855</v>
      </c>
      <c r="P282" s="299" t="s">
        <v>15857</v>
      </c>
      <c r="Q282" s="300" t="s">
        <v>15855</v>
      </c>
      <c r="R282" s="182" t="str">
        <f ca="1">IF(ISERROR($V282),"",OFFSET('Smelter Look-up'!$C$4,$V282-4,0)&amp;"")</f>
        <v>Matsuda Sangyo Co., Ltd.</v>
      </c>
      <c r="S282" s="181" t="str">
        <f t="shared" ca="1" si="38"/>
        <v>JP</v>
      </c>
      <c r="T282" s="181" t="str">
        <f ca="1">IF(B282="","",IF(ISERROR(MATCH($J282,SorP!$B$1:$B$6226,0)),"",INDIRECT("'SorP'!$A$"&amp;MATCH($S282&amp;$J282,SorP!C:C,0))))</f>
        <v>JP-11</v>
      </c>
      <c r="U282" s="201"/>
      <c r="V282" s="226">
        <f>IF(C282="",NA(),IF(OR(C282="Smelter not listed",C282="Smelter not yet identified"),MATCH($B282&amp;$D282,'Smelter Look-up'!$J:$J,0),MATCH($B282&amp;$C282,'Smelter Look-up'!$J:$J,0)))</f>
        <v>175</v>
      </c>
      <c r="X282" s="227">
        <f t="shared" si="39"/>
        <v>0</v>
      </c>
      <c r="AB282" s="228" t="str">
        <f t="shared" si="40"/>
        <v>GoldMatsuda Sangyo Co., Ltd.</v>
      </c>
    </row>
    <row r="283" spans="1:28" s="227" customFormat="1" ht="54">
      <c r="A283" s="301" t="s">
        <v>698</v>
      </c>
      <c r="B283" s="293" t="s">
        <v>1119</v>
      </c>
      <c r="C283" s="294" t="s">
        <v>54</v>
      </c>
      <c r="D283" s="295" t="s">
        <v>54</v>
      </c>
      <c r="E283" s="293" t="s">
        <v>1098</v>
      </c>
      <c r="F283" s="293" t="s">
        <v>698</v>
      </c>
      <c r="G283" s="293" t="s">
        <v>13217</v>
      </c>
      <c r="H283" s="302" t="s">
        <v>15880</v>
      </c>
      <c r="I283" s="297" t="s">
        <v>1610</v>
      </c>
      <c r="J283" s="297" t="s">
        <v>1573</v>
      </c>
      <c r="K283" s="298" t="s">
        <v>15855</v>
      </c>
      <c r="L283" s="298" t="s">
        <v>15855</v>
      </c>
      <c r="M283" s="298" t="s">
        <v>15855</v>
      </c>
      <c r="N283" s="298" t="s">
        <v>15855</v>
      </c>
      <c r="O283" s="298" t="s">
        <v>15855</v>
      </c>
      <c r="P283" s="299" t="s">
        <v>15857</v>
      </c>
      <c r="Q283" s="300" t="s">
        <v>16032</v>
      </c>
      <c r="R283" s="182" t="str">
        <f ca="1">IF(ISERROR($V283),"",OFFSET('Smelter Look-up'!$C$4,$V283-4,0)&amp;"")</f>
        <v>Matsuda Sangyo Co., Ltd.</v>
      </c>
      <c r="S283" s="181" t="str">
        <f t="shared" ca="1" si="38"/>
        <v>JP</v>
      </c>
      <c r="T283" s="181" t="str">
        <f ca="1">IF(B283="","",IF(ISERROR(MATCH($J283,SorP!$B$1:$B$6226,0)),"",INDIRECT("'SorP'!$A$"&amp;MATCH($S283&amp;$J283,SorP!C:C,0))))</f>
        <v>JP-11</v>
      </c>
      <c r="U283" s="201"/>
      <c r="V283" s="226">
        <f>IF(C283="",NA(),IF(OR(C283="Smelter not listed",C283="Smelter not yet identified"),MATCH($B283&amp;$D283,'Smelter Look-up'!$J:$J,0),MATCH($B283&amp;$C283,'Smelter Look-up'!$J:$J,0)))</f>
        <v>175</v>
      </c>
      <c r="X283" s="227">
        <f t="shared" si="39"/>
        <v>0</v>
      </c>
      <c r="AB283" s="228" t="str">
        <f t="shared" si="40"/>
        <v>GoldMatsuda Sangyo Co., Ltd.</v>
      </c>
    </row>
    <row r="284" spans="1:28" s="227" customFormat="1" ht="54">
      <c r="A284" s="301" t="s">
        <v>698</v>
      </c>
      <c r="B284" s="293" t="s">
        <v>1119</v>
      </c>
      <c r="C284" s="294" t="s">
        <v>54</v>
      </c>
      <c r="D284" s="295" t="s">
        <v>54</v>
      </c>
      <c r="E284" s="293" t="s">
        <v>1098</v>
      </c>
      <c r="F284" s="293" t="s">
        <v>698</v>
      </c>
      <c r="G284" s="293" t="s">
        <v>13217</v>
      </c>
      <c r="H284" s="302" t="s">
        <v>15880</v>
      </c>
      <c r="I284" s="297" t="s">
        <v>1610</v>
      </c>
      <c r="J284" s="297" t="s">
        <v>1573</v>
      </c>
      <c r="K284" s="298" t="s">
        <v>15855</v>
      </c>
      <c r="L284" s="298" t="s">
        <v>15855</v>
      </c>
      <c r="M284" s="298" t="s">
        <v>15855</v>
      </c>
      <c r="N284" s="298" t="s">
        <v>15855</v>
      </c>
      <c r="O284" s="298" t="s">
        <v>15855</v>
      </c>
      <c r="P284" s="299" t="s">
        <v>15857</v>
      </c>
      <c r="Q284" s="300" t="s">
        <v>15912</v>
      </c>
      <c r="R284" s="182" t="str">
        <f ca="1">IF(ISERROR($V284),"",OFFSET('Smelter Look-up'!$C$4,$V284-4,0)&amp;"")</f>
        <v>Matsuda Sangyo Co., Ltd.</v>
      </c>
      <c r="S284" s="181" t="str">
        <f t="shared" ca="1" si="38"/>
        <v>JP</v>
      </c>
      <c r="T284" s="181" t="str">
        <f ca="1">IF(B284="","",IF(ISERROR(MATCH($J284,SorP!$B$1:$B$6226,0)),"",INDIRECT("'SorP'!$A$"&amp;MATCH($S284&amp;$J284,SorP!C:C,0))))</f>
        <v>JP-11</v>
      </c>
      <c r="U284" s="201"/>
      <c r="V284" s="226">
        <f>IF(C284="",NA(),IF(OR(C284="Smelter not listed",C284="Smelter not yet identified"),MATCH($B284&amp;$D284,'Smelter Look-up'!$J:$J,0),MATCH($B284&amp;$C284,'Smelter Look-up'!$J:$J,0)))</f>
        <v>175</v>
      </c>
      <c r="X284" s="227">
        <f t="shared" si="39"/>
        <v>0</v>
      </c>
      <c r="AB284" s="228" t="str">
        <f t="shared" si="40"/>
        <v>GoldMatsuda Sangyo Co., Ltd.</v>
      </c>
    </row>
    <row r="285" spans="1:28" s="227" customFormat="1" ht="54">
      <c r="A285" s="301" t="s">
        <v>698</v>
      </c>
      <c r="B285" s="293" t="s">
        <v>1119</v>
      </c>
      <c r="C285" s="294" t="s">
        <v>54</v>
      </c>
      <c r="D285" s="295" t="s">
        <v>54</v>
      </c>
      <c r="E285" s="293" t="s">
        <v>1098</v>
      </c>
      <c r="F285" s="293" t="s">
        <v>698</v>
      </c>
      <c r="G285" s="293" t="s">
        <v>13217</v>
      </c>
      <c r="H285" s="302" t="s">
        <v>15880</v>
      </c>
      <c r="I285" s="297" t="s">
        <v>1610</v>
      </c>
      <c r="J285" s="297" t="s">
        <v>1573</v>
      </c>
      <c r="K285" s="298" t="s">
        <v>15855</v>
      </c>
      <c r="L285" s="298" t="s">
        <v>15855</v>
      </c>
      <c r="M285" s="298" t="s">
        <v>15855</v>
      </c>
      <c r="N285" s="298" t="s">
        <v>16017</v>
      </c>
      <c r="O285" s="298" t="s">
        <v>16017</v>
      </c>
      <c r="P285" s="299" t="s">
        <v>15875</v>
      </c>
      <c r="Q285" s="300" t="s">
        <v>16047</v>
      </c>
      <c r="R285" s="182" t="str">
        <f ca="1">IF(ISERROR($V285),"",OFFSET('Smelter Look-up'!$C$4,$V285-4,0)&amp;"")</f>
        <v>Matsuda Sangyo Co., Ltd.</v>
      </c>
      <c r="S285" s="181" t="str">
        <f t="shared" ca="1" si="38"/>
        <v>JP</v>
      </c>
      <c r="T285" s="181" t="str">
        <f ca="1">IF(B285="","",IF(ISERROR(MATCH($J285,SorP!$B$1:$B$6226,0)),"",INDIRECT("'SorP'!$A$"&amp;MATCH($S285&amp;$J285,SorP!C:C,0))))</f>
        <v>JP-11</v>
      </c>
      <c r="U285" s="201"/>
      <c r="V285" s="226">
        <f>IF(C285="",NA(),IF(OR(C285="Smelter not listed",C285="Smelter not yet identified"),MATCH($B285&amp;$D285,'Smelter Look-up'!$J:$J,0),MATCH($B285&amp;$C285,'Smelter Look-up'!$J:$J,0)))</f>
        <v>175</v>
      </c>
      <c r="X285" s="227">
        <f t="shared" si="39"/>
        <v>0</v>
      </c>
      <c r="AB285" s="228" t="str">
        <f t="shared" si="40"/>
        <v>GoldMatsuda Sangyo Co., Ltd.</v>
      </c>
    </row>
    <row r="286" spans="1:28" s="227" customFormat="1" ht="54">
      <c r="A286" s="301" t="s">
        <v>698</v>
      </c>
      <c r="B286" s="293" t="s">
        <v>1119</v>
      </c>
      <c r="C286" s="294" t="s">
        <v>54</v>
      </c>
      <c r="D286" s="295" t="s">
        <v>54</v>
      </c>
      <c r="E286" s="293" t="s">
        <v>1098</v>
      </c>
      <c r="F286" s="293" t="s">
        <v>698</v>
      </c>
      <c r="G286" s="293" t="s">
        <v>13217</v>
      </c>
      <c r="H286" s="296" t="s">
        <v>16098</v>
      </c>
      <c r="I286" s="297" t="s">
        <v>1610</v>
      </c>
      <c r="J286" s="297" t="s">
        <v>1573</v>
      </c>
      <c r="K286" s="298" t="s">
        <v>16099</v>
      </c>
      <c r="L286" s="298" t="s">
        <v>16100</v>
      </c>
      <c r="M286" s="298" t="s">
        <v>16056</v>
      </c>
      <c r="N286" s="298" t="s">
        <v>16017</v>
      </c>
      <c r="O286" s="298" t="s">
        <v>16017</v>
      </c>
      <c r="P286" s="299" t="s">
        <v>15875</v>
      </c>
      <c r="Q286" s="300" t="s">
        <v>16057</v>
      </c>
      <c r="R286" s="182" t="str">
        <f ca="1">IF(ISERROR($V286),"",OFFSET('Smelter Look-up'!$C$4,$V286-4,0)&amp;"")</f>
        <v>Matsuda Sangyo Co., Ltd.</v>
      </c>
      <c r="S286" s="181" t="str">
        <f t="shared" ca="1" si="38"/>
        <v>JP</v>
      </c>
      <c r="T286" s="181" t="str">
        <f ca="1">IF(B286="","",IF(ISERROR(MATCH($J286,SorP!$B$1:$B$6226,0)),"",INDIRECT("'SorP'!$A$"&amp;MATCH($S286&amp;$J286,SorP!C:C,0))))</f>
        <v>JP-11</v>
      </c>
      <c r="U286" s="201"/>
      <c r="V286" s="226">
        <f>IF(C286="",NA(),IF(OR(C286="Smelter not listed",C286="Smelter not yet identified"),MATCH($B286&amp;$D286,'Smelter Look-up'!$J:$J,0),MATCH($B286&amp;$C286,'Smelter Look-up'!$J:$J,0)))</f>
        <v>175</v>
      </c>
      <c r="X286" s="227">
        <f t="shared" si="39"/>
        <v>0</v>
      </c>
      <c r="AB286" s="228" t="str">
        <f t="shared" si="40"/>
        <v>GoldMatsuda Sangyo Co., Ltd.</v>
      </c>
    </row>
    <row r="287" spans="1:28" s="227" customFormat="1" ht="27">
      <c r="A287" s="301" t="s">
        <v>15036</v>
      </c>
      <c r="B287" s="293" t="s">
        <v>1119</v>
      </c>
      <c r="C287" s="294" t="s">
        <v>15035</v>
      </c>
      <c r="D287" s="295" t="s">
        <v>15035</v>
      </c>
      <c r="E287" s="293" t="s">
        <v>1096</v>
      </c>
      <c r="F287" s="293" t="s">
        <v>15036</v>
      </c>
      <c r="G287" s="293" t="s">
        <v>13217</v>
      </c>
      <c r="H287" s="296" t="s">
        <v>15855</v>
      </c>
      <c r="I287" s="297" t="s">
        <v>15102</v>
      </c>
      <c r="J287" s="297" t="s">
        <v>15792</v>
      </c>
      <c r="K287" s="298" t="s">
        <v>15855</v>
      </c>
      <c r="L287" s="298" t="s">
        <v>15855</v>
      </c>
      <c r="M287" s="298" t="s">
        <v>15855</v>
      </c>
      <c r="N287" s="298" t="s">
        <v>15855</v>
      </c>
      <c r="O287" s="298" t="s">
        <v>15858</v>
      </c>
      <c r="P287" s="299" t="s">
        <v>15857</v>
      </c>
      <c r="Q287" s="300" t="s">
        <v>15855</v>
      </c>
      <c r="R287" s="182" t="str">
        <f ca="1">IF(ISERROR($V287),"",OFFSET('Smelter Look-up'!$C$4,$V287-4,0)&amp;"")</f>
        <v>MD Overseas</v>
      </c>
      <c r="S287" s="181" t="str">
        <f t="shared" ca="1" si="38"/>
        <v>IN</v>
      </c>
      <c r="T287" s="181" t="str">
        <f ca="1">IF(B287="","",IF(ISERROR(MATCH($J287,SorP!$B$1:$B$6226,0)),"",INDIRECT("'SorP'!$A$"&amp;MATCH($S287&amp;$J287,SorP!C:C,0))))</f>
        <v/>
      </c>
      <c r="U287" s="201"/>
      <c r="V287" s="226">
        <f>IF(C287="",NA(),IF(OR(C287="Smelter not listed",C287="Smelter not yet identified"),MATCH($B287&amp;$D287,'Smelter Look-up'!$J:$J,0),MATCH($B287&amp;$C287,'Smelter Look-up'!$J:$J,0)))</f>
        <v>176</v>
      </c>
      <c r="X287" s="227">
        <f t="shared" si="39"/>
        <v>0</v>
      </c>
      <c r="AB287" s="228" t="str">
        <f t="shared" si="40"/>
        <v>GoldMD Overseas</v>
      </c>
    </row>
    <row r="288" spans="1:28" s="227" customFormat="1" ht="81">
      <c r="A288" s="301" t="s">
        <v>15038</v>
      </c>
      <c r="B288" s="293" t="s">
        <v>1119</v>
      </c>
      <c r="C288" s="294" t="s">
        <v>15037</v>
      </c>
      <c r="D288" s="295" t="s">
        <v>15037</v>
      </c>
      <c r="E288" s="293" t="s">
        <v>883</v>
      </c>
      <c r="F288" s="293" t="s">
        <v>15038</v>
      </c>
      <c r="G288" s="293" t="s">
        <v>13217</v>
      </c>
      <c r="H288" s="296" t="s">
        <v>15855</v>
      </c>
      <c r="I288" s="297" t="s">
        <v>15419</v>
      </c>
      <c r="J288" s="297" t="s">
        <v>1636</v>
      </c>
      <c r="K288" s="298" t="s">
        <v>15855</v>
      </c>
      <c r="L288" s="298" t="s">
        <v>15855</v>
      </c>
      <c r="M288" s="298" t="s">
        <v>15855</v>
      </c>
      <c r="N288" s="298" t="s">
        <v>15855</v>
      </c>
      <c r="O288" s="298" t="s">
        <v>15855</v>
      </c>
      <c r="P288" s="299" t="s">
        <v>15857</v>
      </c>
      <c r="Q288" s="300" t="s">
        <v>15855</v>
      </c>
      <c r="R288" s="182" t="str">
        <f ca="1">IF(ISERROR($V288),"",OFFSET('Smelter Look-up'!$C$4,$V288-4,0)&amp;"")</f>
        <v>Metal Concentrators SA (Pty) Ltd.</v>
      </c>
      <c r="S288" s="181" t="str">
        <f t="shared" ca="1" si="38"/>
        <v>ZA</v>
      </c>
      <c r="T288" s="181" t="str">
        <f ca="1">IF(B288="","",IF(ISERROR(MATCH($J288,SorP!$B$1:$B$6226,0)),"",INDIRECT("'SorP'!$A$"&amp;MATCH($S288&amp;$J288,SorP!C:C,0))))</f>
        <v>ZA-GP</v>
      </c>
      <c r="U288" s="201"/>
      <c r="V288" s="226">
        <f>IF(C288="",NA(),IF(OR(C288="Smelter not listed",C288="Smelter not yet identified"),MATCH($B288&amp;$D288,'Smelter Look-up'!$J:$J,0),MATCH($B288&amp;$C288,'Smelter Look-up'!$J:$J,0)))</f>
        <v>178</v>
      </c>
      <c r="X288" s="227">
        <f t="shared" si="39"/>
        <v>0</v>
      </c>
      <c r="AB288" s="228" t="str">
        <f t="shared" si="40"/>
        <v>GoldMetal Concentrators SA (Pty) Ltd.</v>
      </c>
    </row>
    <row r="289" spans="1:28" s="227" customFormat="1" ht="81">
      <c r="A289" s="301" t="s">
        <v>15038</v>
      </c>
      <c r="B289" s="293" t="s">
        <v>1119</v>
      </c>
      <c r="C289" s="294" t="s">
        <v>15037</v>
      </c>
      <c r="D289" s="295" t="s">
        <v>15037</v>
      </c>
      <c r="E289" s="293" t="s">
        <v>883</v>
      </c>
      <c r="F289" s="293" t="s">
        <v>15038</v>
      </c>
      <c r="G289" s="293" t="s">
        <v>13217</v>
      </c>
      <c r="H289" s="296" t="s">
        <v>15855</v>
      </c>
      <c r="I289" s="297" t="s">
        <v>15419</v>
      </c>
      <c r="J289" s="297" t="s">
        <v>1636</v>
      </c>
      <c r="K289" s="298" t="s">
        <v>15855</v>
      </c>
      <c r="L289" s="298" t="s">
        <v>15855</v>
      </c>
      <c r="M289" s="298" t="s">
        <v>15855</v>
      </c>
      <c r="N289" s="298" t="s">
        <v>15855</v>
      </c>
      <c r="O289" s="298" t="s">
        <v>15858</v>
      </c>
      <c r="P289" s="299" t="s">
        <v>15857</v>
      </c>
      <c r="Q289" s="300" t="s">
        <v>15855</v>
      </c>
      <c r="R289" s="182" t="str">
        <f ca="1">IF(ISERROR($V289),"",OFFSET('Smelter Look-up'!$C$4,$V289-4,0)&amp;"")</f>
        <v>Metal Concentrators SA (Pty) Ltd.</v>
      </c>
      <c r="S289" s="181" t="str">
        <f t="shared" ca="1" si="38"/>
        <v>ZA</v>
      </c>
      <c r="T289" s="181" t="str">
        <f ca="1">IF(B289="","",IF(ISERROR(MATCH($J289,SorP!$B$1:$B$6226,0)),"",INDIRECT("'SorP'!$A$"&amp;MATCH($S289&amp;$J289,SorP!C:C,0))))</f>
        <v>ZA-GP</v>
      </c>
      <c r="U289" s="201"/>
      <c r="V289" s="226">
        <f>IF(C289="",NA(),IF(OR(C289="Smelter not listed",C289="Smelter not yet identified"),MATCH($B289&amp;$D289,'Smelter Look-up'!$J:$J,0),MATCH($B289&amp;$C289,'Smelter Look-up'!$J:$J,0)))</f>
        <v>178</v>
      </c>
      <c r="X289" s="227">
        <f t="shared" si="39"/>
        <v>0</v>
      </c>
      <c r="AB289" s="228" t="str">
        <f t="shared" si="40"/>
        <v>GoldMetal Concentrators SA (Pty) Ltd.</v>
      </c>
    </row>
    <row r="290" spans="1:28" s="227" customFormat="1" ht="54">
      <c r="A290" s="301" t="s">
        <v>15040</v>
      </c>
      <c r="B290" s="293" t="s">
        <v>1119</v>
      </c>
      <c r="C290" s="294" t="s">
        <v>15039</v>
      </c>
      <c r="D290" s="295" t="s">
        <v>15039</v>
      </c>
      <c r="E290" s="293" t="s">
        <v>2415</v>
      </c>
      <c r="F290" s="293" t="s">
        <v>15040</v>
      </c>
      <c r="G290" s="293" t="s">
        <v>13217</v>
      </c>
      <c r="H290" s="296" t="s">
        <v>15855</v>
      </c>
      <c r="I290" s="297" t="s">
        <v>15103</v>
      </c>
      <c r="J290" s="297" t="s">
        <v>1729</v>
      </c>
      <c r="K290" s="298" t="s">
        <v>15855</v>
      </c>
      <c r="L290" s="298" t="s">
        <v>15855</v>
      </c>
      <c r="M290" s="298" t="s">
        <v>15855</v>
      </c>
      <c r="N290" s="298" t="s">
        <v>15855</v>
      </c>
      <c r="O290" s="298" t="s">
        <v>15858</v>
      </c>
      <c r="P290" s="299" t="s">
        <v>15857</v>
      </c>
      <c r="Q290" s="300" t="s">
        <v>15855</v>
      </c>
      <c r="R290" s="182" t="str">
        <f ca="1">IF(ISERROR($V290),"",OFFSET('Smelter Look-up'!$C$4,$V290-4,0)&amp;"")</f>
        <v>Metallix Refining Inc.</v>
      </c>
      <c r="S290" s="181" t="str">
        <f t="shared" ca="1" si="38"/>
        <v>US</v>
      </c>
      <c r="T290" s="181" t="str">
        <f ca="1">IF(B290="","",IF(ISERROR(MATCH($J290,SorP!$B$1:$B$6226,0)),"",INDIRECT("'SorP'!$A$"&amp;MATCH($S290&amp;$J290,SorP!C:C,0))))</f>
        <v>US-NC</v>
      </c>
      <c r="U290" s="201"/>
      <c r="V290" s="226">
        <f>IF(C290="",NA(),IF(OR(C290="Smelter not listed",C290="Smelter not yet identified"),MATCH($B290&amp;$D290,'Smelter Look-up'!$J:$J,0),MATCH($B290&amp;$C290,'Smelter Look-up'!$J:$J,0)))</f>
        <v>180</v>
      </c>
      <c r="X290" s="227">
        <f t="shared" si="39"/>
        <v>0</v>
      </c>
      <c r="AB290" s="228" t="str">
        <f t="shared" si="40"/>
        <v>GoldMetallix Refining Inc.</v>
      </c>
    </row>
    <row r="291" spans="1:28" s="227" customFormat="1" ht="94.5">
      <c r="A291" s="301" t="s">
        <v>699</v>
      </c>
      <c r="B291" s="293" t="s">
        <v>1119</v>
      </c>
      <c r="C291" s="294" t="s">
        <v>2134</v>
      </c>
      <c r="D291" s="295" t="s">
        <v>2134</v>
      </c>
      <c r="E291" s="293" t="s">
        <v>1090</v>
      </c>
      <c r="F291" s="293" t="s">
        <v>699</v>
      </c>
      <c r="G291" s="293" t="s">
        <v>13217</v>
      </c>
      <c r="H291" s="296" t="s">
        <v>15855</v>
      </c>
      <c r="I291" s="297" t="s">
        <v>1613</v>
      </c>
      <c r="J291" s="297" t="s">
        <v>15779</v>
      </c>
      <c r="K291" s="298" t="s">
        <v>15855</v>
      </c>
      <c r="L291" s="298" t="s">
        <v>15855</v>
      </c>
      <c r="M291" s="298" t="s">
        <v>15855</v>
      </c>
      <c r="N291" s="298" t="s">
        <v>15855</v>
      </c>
      <c r="O291" s="298" t="s">
        <v>15855</v>
      </c>
      <c r="P291" s="299" t="s">
        <v>15857</v>
      </c>
      <c r="Q291" s="300" t="s">
        <v>15855</v>
      </c>
      <c r="R291" s="182" t="str">
        <f ca="1">IF(ISERROR($V291),"",OFFSET('Smelter Look-up'!$C$4,$V291-4,0)&amp;"")</f>
        <v>Metalor Technologies (Hong Kong) Ltd.</v>
      </c>
      <c r="S291" s="181" t="str">
        <f t="shared" ca="1" si="38"/>
        <v>CN</v>
      </c>
      <c r="T291" s="181" t="str">
        <f ca="1">IF(B291="","",IF(ISERROR(MATCH($J291,SorP!$B$1:$B$6226,0)),"",INDIRECT("'SorP'!$A$"&amp;MATCH($S291&amp;$J291,SorP!C:C,0))))</f>
        <v>CN-HK</v>
      </c>
      <c r="U291" s="201"/>
      <c r="V291" s="226">
        <f>IF(C291="",NA(),IF(OR(C291="Smelter not listed",C291="Smelter not yet identified"),MATCH($B291&amp;$D291,'Smelter Look-up'!$J:$J,0),MATCH($B291&amp;$C291,'Smelter Look-up'!$J:$J,0)))</f>
        <v>183</v>
      </c>
      <c r="X291" s="227">
        <f t="shared" si="39"/>
        <v>0</v>
      </c>
      <c r="AB291" s="228" t="str">
        <f t="shared" si="40"/>
        <v>GoldMetalor Technologies (Hong Kong) Ltd.</v>
      </c>
    </row>
    <row r="292" spans="1:28" s="227" customFormat="1" ht="94.5">
      <c r="A292" s="301" t="s">
        <v>699</v>
      </c>
      <c r="B292" s="293" t="s">
        <v>1119</v>
      </c>
      <c r="C292" s="294" t="s">
        <v>2134</v>
      </c>
      <c r="D292" s="295" t="s">
        <v>2134</v>
      </c>
      <c r="E292" s="293" t="s">
        <v>1090</v>
      </c>
      <c r="F292" s="293" t="s">
        <v>699</v>
      </c>
      <c r="G292" s="293" t="s">
        <v>13217</v>
      </c>
      <c r="H292" s="296" t="s">
        <v>15855</v>
      </c>
      <c r="I292" s="297" t="s">
        <v>1613</v>
      </c>
      <c r="J292" s="297" t="s">
        <v>15779</v>
      </c>
      <c r="K292" s="298" t="s">
        <v>15855</v>
      </c>
      <c r="L292" s="298" t="s">
        <v>15855</v>
      </c>
      <c r="M292" s="298" t="s">
        <v>15855</v>
      </c>
      <c r="N292" s="298" t="s">
        <v>15855</v>
      </c>
      <c r="O292" s="298" t="s">
        <v>15855</v>
      </c>
      <c r="P292" s="299" t="s">
        <v>15875</v>
      </c>
      <c r="Q292" s="300" t="s">
        <v>15855</v>
      </c>
      <c r="R292" s="182" t="str">
        <f ca="1">IF(ISERROR($V292),"",OFFSET('Smelter Look-up'!$C$4,$V292-4,0)&amp;"")</f>
        <v>Metalor Technologies (Hong Kong) Ltd.</v>
      </c>
      <c r="S292" s="181" t="str">
        <f t="shared" ca="1" si="38"/>
        <v>CN</v>
      </c>
      <c r="T292" s="181" t="str">
        <f ca="1">IF(B292="","",IF(ISERROR(MATCH($J292,SorP!$B$1:$B$6226,0)),"",INDIRECT("'SorP'!$A$"&amp;MATCH($S292&amp;$J292,SorP!C:C,0))))</f>
        <v>CN-HK</v>
      </c>
      <c r="U292" s="201"/>
      <c r="V292" s="226">
        <f>IF(C292="",NA(),IF(OR(C292="Smelter not listed",C292="Smelter not yet identified"),MATCH($B292&amp;$D292,'Smelter Look-up'!$J:$J,0),MATCH($B292&amp;$C292,'Smelter Look-up'!$J:$J,0)))</f>
        <v>183</v>
      </c>
      <c r="X292" s="227">
        <f t="shared" si="39"/>
        <v>0</v>
      </c>
      <c r="AB292" s="228" t="str">
        <f t="shared" si="40"/>
        <v>GoldMetalor Technologies (Hong Kong) Ltd.</v>
      </c>
    </row>
    <row r="293" spans="1:28" s="227" customFormat="1" ht="94.5">
      <c r="A293" s="301" t="s">
        <v>699</v>
      </c>
      <c r="B293" s="293" t="s">
        <v>1119</v>
      </c>
      <c r="C293" s="294" t="s">
        <v>2134</v>
      </c>
      <c r="D293" s="295" t="s">
        <v>2134</v>
      </c>
      <c r="E293" s="293" t="s">
        <v>1090</v>
      </c>
      <c r="F293" s="293" t="s">
        <v>699</v>
      </c>
      <c r="G293" s="293" t="s">
        <v>13217</v>
      </c>
      <c r="H293" s="296" t="s">
        <v>15855</v>
      </c>
      <c r="I293" s="297" t="s">
        <v>1613</v>
      </c>
      <c r="J293" s="297" t="s">
        <v>15779</v>
      </c>
      <c r="K293" s="298" t="s">
        <v>15855</v>
      </c>
      <c r="L293" s="298" t="s">
        <v>15855</v>
      </c>
      <c r="M293" s="298" t="s">
        <v>15855</v>
      </c>
      <c r="N293" s="298" t="s">
        <v>15855</v>
      </c>
      <c r="O293" s="298" t="s">
        <v>16101</v>
      </c>
      <c r="P293" s="299" t="s">
        <v>15857</v>
      </c>
      <c r="Q293" s="300" t="s">
        <v>15855</v>
      </c>
      <c r="R293" s="182" t="str">
        <f ca="1">IF(ISERROR($V293),"",OFFSET('Smelter Look-up'!$C$4,$V293-4,0)&amp;"")</f>
        <v>Metalor Technologies (Hong Kong) Ltd.</v>
      </c>
      <c r="S293" s="181" t="str">
        <f t="shared" ca="1" si="38"/>
        <v>CN</v>
      </c>
      <c r="T293" s="181" t="str">
        <f ca="1">IF(B293="","",IF(ISERROR(MATCH($J293,SorP!$B$1:$B$6226,0)),"",INDIRECT("'SorP'!$A$"&amp;MATCH($S293&amp;$J293,SorP!C:C,0))))</f>
        <v>CN-HK</v>
      </c>
      <c r="U293" s="201"/>
      <c r="V293" s="226">
        <f>IF(C293="",NA(),IF(OR(C293="Smelter not listed",C293="Smelter not yet identified"),MATCH($B293&amp;$D293,'Smelter Look-up'!$J:$J,0),MATCH($B293&amp;$C293,'Smelter Look-up'!$J:$J,0)))</f>
        <v>183</v>
      </c>
      <c r="X293" s="227">
        <f t="shared" si="39"/>
        <v>0</v>
      </c>
      <c r="AB293" s="228" t="str">
        <f t="shared" si="40"/>
        <v>GoldMetalor Technologies (Hong Kong) Ltd.</v>
      </c>
    </row>
    <row r="294" spans="1:28" s="227" customFormat="1" ht="94.5">
      <c r="A294" s="301" t="s">
        <v>699</v>
      </c>
      <c r="B294" s="293" t="s">
        <v>1119</v>
      </c>
      <c r="C294" s="294" t="s">
        <v>2134</v>
      </c>
      <c r="D294" s="295" t="s">
        <v>2134</v>
      </c>
      <c r="E294" s="293" t="s">
        <v>1090</v>
      </c>
      <c r="F294" s="293" t="s">
        <v>699</v>
      </c>
      <c r="G294" s="293" t="s">
        <v>13217</v>
      </c>
      <c r="H294" s="296" t="s">
        <v>15855</v>
      </c>
      <c r="I294" s="297" t="s">
        <v>1613</v>
      </c>
      <c r="J294" s="297" t="s">
        <v>15779</v>
      </c>
      <c r="K294" s="298" t="s">
        <v>16102</v>
      </c>
      <c r="L294" s="298" t="s">
        <v>16103</v>
      </c>
      <c r="M294" s="298" t="s">
        <v>16104</v>
      </c>
      <c r="N294" s="298" t="s">
        <v>16105</v>
      </c>
      <c r="O294" s="298" t="s">
        <v>16106</v>
      </c>
      <c r="P294" s="299" t="s">
        <v>15857</v>
      </c>
      <c r="Q294" s="300" t="s">
        <v>15855</v>
      </c>
      <c r="R294" s="182" t="str">
        <f ca="1">IF(ISERROR($V294),"",OFFSET('Smelter Look-up'!$C$4,$V294-4,0)&amp;"")</f>
        <v>Metalor Technologies (Hong Kong) Ltd.</v>
      </c>
      <c r="S294" s="181" t="str">
        <f t="shared" ref="S294:S324" ca="1" si="41">IF(B294="","",IF(ISERROR(MATCH($E294,CL,0)),"Unknown",INDIRECT("'C'!$A$"&amp;MATCH($E294,CL,0)+1)))</f>
        <v>CN</v>
      </c>
      <c r="T294" s="181" t="str">
        <f ca="1">IF(B294="","",IF(ISERROR(MATCH($J294,SorP!$B$1:$B$6226,0)),"",INDIRECT("'SorP'!$A$"&amp;MATCH($S294&amp;$J294,SorP!C:C,0))))</f>
        <v>CN-HK</v>
      </c>
      <c r="U294" s="201"/>
      <c r="V294" s="226">
        <f>IF(C294="",NA(),IF(OR(C294="Smelter not listed",C294="Smelter not yet identified"),MATCH($B294&amp;$D294,'Smelter Look-up'!$J:$J,0),MATCH($B294&amp;$C294,'Smelter Look-up'!$J:$J,0)))</f>
        <v>183</v>
      </c>
      <c r="X294" s="227">
        <f t="shared" ref="X294:X324" si="42">IF(AND(C294="Smelter not listed",OR(LEN(D294)=0,LEN(E294)=0)),1,0)</f>
        <v>0</v>
      </c>
      <c r="AB294" s="228" t="str">
        <f t="shared" ref="AB294:AB324" si="43">B294&amp;C294</f>
        <v>GoldMetalor Technologies (Hong Kong) Ltd.</v>
      </c>
    </row>
    <row r="295" spans="1:28" s="227" customFormat="1" ht="94.5">
      <c r="A295" s="301" t="s">
        <v>699</v>
      </c>
      <c r="B295" s="293" t="s">
        <v>1119</v>
      </c>
      <c r="C295" s="294" t="s">
        <v>2134</v>
      </c>
      <c r="D295" s="295" t="s">
        <v>2134</v>
      </c>
      <c r="E295" s="293" t="s">
        <v>1090</v>
      </c>
      <c r="F295" s="293" t="s">
        <v>699</v>
      </c>
      <c r="G295" s="293" t="s">
        <v>13217</v>
      </c>
      <c r="H295" s="296" t="s">
        <v>15855</v>
      </c>
      <c r="I295" s="297" t="s">
        <v>1613</v>
      </c>
      <c r="J295" s="297" t="s">
        <v>16016</v>
      </c>
      <c r="K295" s="298" t="s">
        <v>15855</v>
      </c>
      <c r="L295" s="298" t="s">
        <v>15855</v>
      </c>
      <c r="M295" s="298" t="s">
        <v>15855</v>
      </c>
      <c r="N295" s="298" t="s">
        <v>15855</v>
      </c>
      <c r="O295" s="298" t="s">
        <v>15855</v>
      </c>
      <c r="P295" s="299" t="s">
        <v>15857</v>
      </c>
      <c r="Q295" s="300" t="s">
        <v>15855</v>
      </c>
      <c r="R295" s="182" t="str">
        <f ca="1">IF(ISERROR($V295),"",OFFSET('Smelter Look-up'!$C$4,$V295-4,0)&amp;"")</f>
        <v>Metalor Technologies (Hong Kong) Ltd.</v>
      </c>
      <c r="S295" s="181" t="str">
        <f t="shared" ca="1" si="41"/>
        <v>CN</v>
      </c>
      <c r="T295" s="181" t="str">
        <f ca="1">IF(B295="","",IF(ISERROR(MATCH($J295,SorP!$B$1:$B$6226,0)),"",INDIRECT("'SorP'!$A$"&amp;MATCH($S295&amp;$J295,SorP!C:C,0))))</f>
        <v/>
      </c>
      <c r="U295" s="201"/>
      <c r="V295" s="226">
        <f>IF(C295="",NA(),IF(OR(C295="Smelter not listed",C295="Smelter not yet identified"),MATCH($B295&amp;$D295,'Smelter Look-up'!$J:$J,0),MATCH($B295&amp;$C295,'Smelter Look-up'!$J:$J,0)))</f>
        <v>183</v>
      </c>
      <c r="X295" s="227">
        <f t="shared" si="42"/>
        <v>0</v>
      </c>
      <c r="AB295" s="228" t="str">
        <f t="shared" si="43"/>
        <v>GoldMetalor Technologies (Hong Kong) Ltd.</v>
      </c>
    </row>
    <row r="296" spans="1:28" s="227" customFormat="1" ht="94.5">
      <c r="A296" s="301" t="s">
        <v>699</v>
      </c>
      <c r="B296" s="293" t="s">
        <v>1119</v>
      </c>
      <c r="C296" s="294" t="s">
        <v>2134</v>
      </c>
      <c r="D296" s="295" t="s">
        <v>2134</v>
      </c>
      <c r="E296" s="293" t="s">
        <v>1090</v>
      </c>
      <c r="F296" s="293" t="s">
        <v>699</v>
      </c>
      <c r="G296" s="293" t="s">
        <v>13217</v>
      </c>
      <c r="H296" s="302" t="s">
        <v>15880</v>
      </c>
      <c r="I296" s="297" t="s">
        <v>1613</v>
      </c>
      <c r="J296" s="297" t="s">
        <v>16000</v>
      </c>
      <c r="K296" s="298" t="s">
        <v>15855</v>
      </c>
      <c r="L296" s="298" t="s">
        <v>15855</v>
      </c>
      <c r="M296" s="298" t="s">
        <v>15855</v>
      </c>
      <c r="N296" s="298" t="s">
        <v>15855</v>
      </c>
      <c r="O296" s="298" t="s">
        <v>15855</v>
      </c>
      <c r="P296" s="299" t="s">
        <v>15857</v>
      </c>
      <c r="Q296" s="300" t="s">
        <v>15855</v>
      </c>
      <c r="R296" s="182" t="str">
        <f ca="1">IF(ISERROR($V296),"",OFFSET('Smelter Look-up'!$C$4,$V296-4,0)&amp;"")</f>
        <v>Metalor Technologies (Hong Kong) Ltd.</v>
      </c>
      <c r="S296" s="181" t="str">
        <f t="shared" ca="1" si="41"/>
        <v>CN</v>
      </c>
      <c r="T296" s="181" t="str">
        <f ca="1">IF(B296="","",IF(ISERROR(MATCH($J296,SorP!$B$1:$B$6226,0)),"",INDIRECT("'SorP'!$A$"&amp;MATCH($S296&amp;$J296,SorP!C:C,0))))</f>
        <v/>
      </c>
      <c r="U296" s="201"/>
      <c r="V296" s="226">
        <f>IF(C296="",NA(),IF(OR(C296="Smelter not listed",C296="Smelter not yet identified"),MATCH($B296&amp;$D296,'Smelter Look-up'!$J:$J,0),MATCH($B296&amp;$C296,'Smelter Look-up'!$J:$J,0)))</f>
        <v>183</v>
      </c>
      <c r="X296" s="227">
        <f t="shared" si="42"/>
        <v>0</v>
      </c>
      <c r="AB296" s="228" t="str">
        <f t="shared" si="43"/>
        <v>GoldMetalor Technologies (Hong Kong) Ltd.</v>
      </c>
    </row>
    <row r="297" spans="1:28" s="227" customFormat="1" ht="94.5">
      <c r="A297" s="301" t="s">
        <v>699</v>
      </c>
      <c r="B297" s="293" t="s">
        <v>1119</v>
      </c>
      <c r="C297" s="294" t="s">
        <v>2134</v>
      </c>
      <c r="D297" s="295" t="s">
        <v>2134</v>
      </c>
      <c r="E297" s="293" t="s">
        <v>1090</v>
      </c>
      <c r="F297" s="293" t="s">
        <v>699</v>
      </c>
      <c r="G297" s="293" t="s">
        <v>13217</v>
      </c>
      <c r="H297" s="302" t="s">
        <v>15880</v>
      </c>
      <c r="I297" s="297" t="s">
        <v>1613</v>
      </c>
      <c r="J297" s="297" t="s">
        <v>15779</v>
      </c>
      <c r="K297" s="298" t="s">
        <v>15855</v>
      </c>
      <c r="L297" s="298" t="s">
        <v>15855</v>
      </c>
      <c r="M297" s="298" t="s">
        <v>15855</v>
      </c>
      <c r="N297" s="298" t="s">
        <v>15855</v>
      </c>
      <c r="O297" s="298" t="s">
        <v>15855</v>
      </c>
      <c r="P297" s="299" t="s">
        <v>15857</v>
      </c>
      <c r="Q297" s="300" t="s">
        <v>15855</v>
      </c>
      <c r="R297" s="182" t="str">
        <f ca="1">IF(ISERROR($V297),"",OFFSET('Smelter Look-up'!$C$4,$V297-4,0)&amp;"")</f>
        <v>Metalor Technologies (Hong Kong) Ltd.</v>
      </c>
      <c r="S297" s="181" t="str">
        <f t="shared" ca="1" si="41"/>
        <v>CN</v>
      </c>
      <c r="T297" s="181" t="str">
        <f ca="1">IF(B297="","",IF(ISERROR(MATCH($J297,SorP!$B$1:$B$6226,0)),"",INDIRECT("'SorP'!$A$"&amp;MATCH($S297&amp;$J297,SorP!C:C,0))))</f>
        <v>CN-HK</v>
      </c>
      <c r="U297" s="201"/>
      <c r="V297" s="226">
        <f>IF(C297="",NA(),IF(OR(C297="Smelter not listed",C297="Smelter not yet identified"),MATCH($B297&amp;$D297,'Smelter Look-up'!$J:$J,0),MATCH($B297&amp;$C297,'Smelter Look-up'!$J:$J,0)))</f>
        <v>183</v>
      </c>
      <c r="X297" s="227">
        <f t="shared" si="42"/>
        <v>0</v>
      </c>
      <c r="AB297" s="228" t="str">
        <f t="shared" si="43"/>
        <v>GoldMetalor Technologies (Hong Kong) Ltd.</v>
      </c>
    </row>
    <row r="298" spans="1:28" s="227" customFormat="1" ht="94.5">
      <c r="A298" s="301" t="s">
        <v>699</v>
      </c>
      <c r="B298" s="293" t="s">
        <v>1119</v>
      </c>
      <c r="C298" s="294" t="s">
        <v>2134</v>
      </c>
      <c r="D298" s="295" t="s">
        <v>2134</v>
      </c>
      <c r="E298" s="293" t="s">
        <v>1090</v>
      </c>
      <c r="F298" s="293" t="s">
        <v>699</v>
      </c>
      <c r="G298" s="293" t="s">
        <v>13217</v>
      </c>
      <c r="H298" s="296" t="s">
        <v>16107</v>
      </c>
      <c r="I298" s="297" t="s">
        <v>1613</v>
      </c>
      <c r="J298" s="297" t="s">
        <v>15779</v>
      </c>
      <c r="K298" s="298" t="s">
        <v>16108</v>
      </c>
      <c r="L298" s="298" t="s">
        <v>16109</v>
      </c>
      <c r="M298" s="298" t="s">
        <v>15855</v>
      </c>
      <c r="N298" s="298" t="s">
        <v>16110</v>
      </c>
      <c r="O298" s="298" t="s">
        <v>16110</v>
      </c>
      <c r="P298" s="299" t="s">
        <v>15857</v>
      </c>
      <c r="Q298" s="300" t="s">
        <v>15855</v>
      </c>
      <c r="R298" s="182" t="str">
        <f ca="1">IF(ISERROR($V298),"",OFFSET('Smelter Look-up'!$C$4,$V298-4,0)&amp;"")</f>
        <v>Metalor Technologies (Hong Kong) Ltd.</v>
      </c>
      <c r="S298" s="181" t="str">
        <f t="shared" ca="1" si="41"/>
        <v>CN</v>
      </c>
      <c r="T298" s="181" t="str">
        <f ca="1">IF(B298="","",IF(ISERROR(MATCH($J298,SorP!$B$1:$B$6226,0)),"",INDIRECT("'SorP'!$A$"&amp;MATCH($S298&amp;$J298,SorP!C:C,0))))</f>
        <v>CN-HK</v>
      </c>
      <c r="U298" s="201"/>
      <c r="V298" s="226">
        <f>IF(C298="",NA(),IF(OR(C298="Smelter not listed",C298="Smelter not yet identified"),MATCH($B298&amp;$D298,'Smelter Look-up'!$J:$J,0),MATCH($B298&amp;$C298,'Smelter Look-up'!$J:$J,0)))</f>
        <v>183</v>
      </c>
      <c r="X298" s="227">
        <f t="shared" si="42"/>
        <v>0</v>
      </c>
      <c r="AB298" s="228" t="str">
        <f t="shared" si="43"/>
        <v>GoldMetalor Technologies (Hong Kong) Ltd.</v>
      </c>
    </row>
    <row r="299" spans="1:28" s="227" customFormat="1" ht="94.5">
      <c r="A299" s="301" t="s">
        <v>699</v>
      </c>
      <c r="B299" s="293" t="s">
        <v>1119</v>
      </c>
      <c r="C299" s="294" t="s">
        <v>2134</v>
      </c>
      <c r="D299" s="295" t="s">
        <v>2134</v>
      </c>
      <c r="E299" s="293" t="s">
        <v>1090</v>
      </c>
      <c r="F299" s="293" t="s">
        <v>699</v>
      </c>
      <c r="G299" s="293" t="s">
        <v>13217</v>
      </c>
      <c r="H299" s="296" t="s">
        <v>16111</v>
      </c>
      <c r="I299" s="297" t="s">
        <v>1613</v>
      </c>
      <c r="J299" s="297" t="s">
        <v>15779</v>
      </c>
      <c r="K299" s="298" t="s">
        <v>16112</v>
      </c>
      <c r="L299" s="298" t="s">
        <v>16113</v>
      </c>
      <c r="M299" s="298" t="s">
        <v>12438</v>
      </c>
      <c r="N299" s="298" t="s">
        <v>2134</v>
      </c>
      <c r="O299" s="298" t="s">
        <v>1090</v>
      </c>
      <c r="P299" s="299" t="s">
        <v>15857</v>
      </c>
      <c r="Q299" s="300" t="s">
        <v>15855</v>
      </c>
      <c r="R299" s="182" t="str">
        <f ca="1">IF(ISERROR($V299),"",OFFSET('Smelter Look-up'!$C$4,$V299-4,0)&amp;"")</f>
        <v>Metalor Technologies (Hong Kong) Ltd.</v>
      </c>
      <c r="S299" s="181" t="str">
        <f t="shared" ca="1" si="41"/>
        <v>CN</v>
      </c>
      <c r="T299" s="181" t="str">
        <f ca="1">IF(B299="","",IF(ISERROR(MATCH($J299,SorP!$B$1:$B$6226,0)),"",INDIRECT("'SorP'!$A$"&amp;MATCH($S299&amp;$J299,SorP!C:C,0))))</f>
        <v>CN-HK</v>
      </c>
      <c r="U299" s="201"/>
      <c r="V299" s="226">
        <f>IF(C299="",NA(),IF(OR(C299="Smelter not listed",C299="Smelter not yet identified"),MATCH($B299&amp;$D299,'Smelter Look-up'!$J:$J,0),MATCH($B299&amp;$C299,'Smelter Look-up'!$J:$J,0)))</f>
        <v>183</v>
      </c>
      <c r="X299" s="227">
        <f t="shared" si="42"/>
        <v>0</v>
      </c>
      <c r="AB299" s="228" t="str">
        <f t="shared" si="43"/>
        <v>GoldMetalor Technologies (Hong Kong) Ltd.</v>
      </c>
    </row>
    <row r="300" spans="1:28" s="227" customFormat="1" ht="94.5">
      <c r="A300" s="301" t="s">
        <v>700</v>
      </c>
      <c r="B300" s="293" t="s">
        <v>1119</v>
      </c>
      <c r="C300" s="294" t="s">
        <v>2135</v>
      </c>
      <c r="D300" s="295" t="s">
        <v>2135</v>
      </c>
      <c r="E300" s="293" t="s">
        <v>876</v>
      </c>
      <c r="F300" s="293" t="s">
        <v>700</v>
      </c>
      <c r="G300" s="293" t="s">
        <v>13217</v>
      </c>
      <c r="H300" s="296" t="s">
        <v>15855</v>
      </c>
      <c r="I300" s="297" t="s">
        <v>12701</v>
      </c>
      <c r="J300" s="297" t="s">
        <v>10273</v>
      </c>
      <c r="K300" s="298" t="s">
        <v>15855</v>
      </c>
      <c r="L300" s="298" t="s">
        <v>15855</v>
      </c>
      <c r="M300" s="298" t="s">
        <v>15855</v>
      </c>
      <c r="N300" s="298" t="s">
        <v>15855</v>
      </c>
      <c r="O300" s="298" t="s">
        <v>15855</v>
      </c>
      <c r="P300" s="299" t="s">
        <v>15857</v>
      </c>
      <c r="Q300" s="300" t="s">
        <v>15855</v>
      </c>
      <c r="R300" s="182" t="str">
        <f ca="1">IF(ISERROR($V300),"",OFFSET('Smelter Look-up'!$C$4,$V300-4,0)&amp;"")</f>
        <v>Metalor Technologies (Singapore) Pte., Ltd.</v>
      </c>
      <c r="S300" s="181" t="str">
        <f t="shared" ca="1" si="41"/>
        <v>SG</v>
      </c>
      <c r="T300" s="181" t="str">
        <f ca="1">IF(B300="","",IF(ISERROR(MATCH($J300,SorP!$B$1:$B$6226,0)),"",INDIRECT("'SorP'!$A$"&amp;MATCH($S300&amp;$J300,SorP!C:C,0))))</f>
        <v>SG-05</v>
      </c>
      <c r="U300" s="201"/>
      <c r="V300" s="226">
        <f>IF(C300="",NA(),IF(OR(C300="Smelter not listed",C300="Smelter not yet identified"),MATCH($B300&amp;$D300,'Smelter Look-up'!$J:$J,0),MATCH($B300&amp;$C300,'Smelter Look-up'!$J:$J,0)))</f>
        <v>184</v>
      </c>
      <c r="X300" s="227">
        <f t="shared" si="42"/>
        <v>0</v>
      </c>
      <c r="AB300" s="228" t="str">
        <f t="shared" si="43"/>
        <v>GoldMetalor Technologies (Singapore) Pte., Ltd.</v>
      </c>
    </row>
    <row r="301" spans="1:28" s="227" customFormat="1" ht="94.5">
      <c r="A301" s="301" t="s">
        <v>700</v>
      </c>
      <c r="B301" s="293" t="s">
        <v>1119</v>
      </c>
      <c r="C301" s="294" t="s">
        <v>2135</v>
      </c>
      <c r="D301" s="295" t="s">
        <v>2135</v>
      </c>
      <c r="E301" s="293" t="s">
        <v>876</v>
      </c>
      <c r="F301" s="293" t="s">
        <v>700</v>
      </c>
      <c r="G301" s="293" t="s">
        <v>13217</v>
      </c>
      <c r="H301" s="296" t="s">
        <v>15855</v>
      </c>
      <c r="I301" s="297" t="s">
        <v>12701</v>
      </c>
      <c r="J301" s="297" t="s">
        <v>10273</v>
      </c>
      <c r="K301" s="298" t="s">
        <v>15855</v>
      </c>
      <c r="L301" s="298" t="s">
        <v>15855</v>
      </c>
      <c r="M301" s="298" t="s">
        <v>15855</v>
      </c>
      <c r="N301" s="298" t="s">
        <v>15855</v>
      </c>
      <c r="O301" s="298" t="s">
        <v>16110</v>
      </c>
      <c r="P301" s="299" t="s">
        <v>15857</v>
      </c>
      <c r="Q301" s="300" t="s">
        <v>15855</v>
      </c>
      <c r="R301" s="182" t="str">
        <f ca="1">IF(ISERROR($V301),"",OFFSET('Smelter Look-up'!$C$4,$V301-4,0)&amp;"")</f>
        <v>Metalor Technologies (Singapore) Pte., Ltd.</v>
      </c>
      <c r="S301" s="181" t="str">
        <f t="shared" ca="1" si="41"/>
        <v>SG</v>
      </c>
      <c r="T301" s="181" t="str">
        <f ca="1">IF(B301="","",IF(ISERROR(MATCH($J301,SorP!$B$1:$B$6226,0)),"",INDIRECT("'SorP'!$A$"&amp;MATCH($S301&amp;$J301,SorP!C:C,0))))</f>
        <v>SG-05</v>
      </c>
      <c r="U301" s="201"/>
      <c r="V301" s="226">
        <f>IF(C301="",NA(),IF(OR(C301="Smelter not listed",C301="Smelter not yet identified"),MATCH($B301&amp;$D301,'Smelter Look-up'!$J:$J,0),MATCH($B301&amp;$C301,'Smelter Look-up'!$J:$J,0)))</f>
        <v>184</v>
      </c>
      <c r="X301" s="227">
        <f t="shared" si="42"/>
        <v>0</v>
      </c>
      <c r="AB301" s="228" t="str">
        <f t="shared" si="43"/>
        <v>GoldMetalor Technologies (Singapore) Pte., Ltd.</v>
      </c>
    </row>
    <row r="302" spans="1:28" s="227" customFormat="1" ht="94.5">
      <c r="A302" s="301" t="s">
        <v>700</v>
      </c>
      <c r="B302" s="293" t="s">
        <v>1119</v>
      </c>
      <c r="C302" s="294" t="s">
        <v>2135</v>
      </c>
      <c r="D302" s="295" t="s">
        <v>2135</v>
      </c>
      <c r="E302" s="293" t="s">
        <v>876</v>
      </c>
      <c r="F302" s="293" t="s">
        <v>700</v>
      </c>
      <c r="G302" s="293" t="s">
        <v>13217</v>
      </c>
      <c r="H302" s="296" t="s">
        <v>15855</v>
      </c>
      <c r="I302" s="297" t="s">
        <v>12701</v>
      </c>
      <c r="J302" s="297" t="s">
        <v>10273</v>
      </c>
      <c r="K302" s="298" t="s">
        <v>16102</v>
      </c>
      <c r="L302" s="298" t="s">
        <v>16103</v>
      </c>
      <c r="M302" s="298" t="s">
        <v>16114</v>
      </c>
      <c r="N302" s="298" t="s">
        <v>16105</v>
      </c>
      <c r="O302" s="298" t="s">
        <v>16115</v>
      </c>
      <c r="P302" s="299" t="s">
        <v>15857</v>
      </c>
      <c r="Q302" s="300" t="s">
        <v>15855</v>
      </c>
      <c r="R302" s="182" t="str">
        <f ca="1">IF(ISERROR($V302),"",OFFSET('Smelter Look-up'!$C$4,$V302-4,0)&amp;"")</f>
        <v>Metalor Technologies (Singapore) Pte., Ltd.</v>
      </c>
      <c r="S302" s="181" t="str">
        <f t="shared" ca="1" si="41"/>
        <v>SG</v>
      </c>
      <c r="T302" s="181" t="str">
        <f ca="1">IF(B302="","",IF(ISERROR(MATCH($J302,SorP!$B$1:$B$6226,0)),"",INDIRECT("'SorP'!$A$"&amp;MATCH($S302&amp;$J302,SorP!C:C,0))))</f>
        <v>SG-05</v>
      </c>
      <c r="U302" s="201"/>
      <c r="V302" s="226">
        <f>IF(C302="",NA(),IF(OR(C302="Smelter not listed",C302="Smelter not yet identified"),MATCH($B302&amp;$D302,'Smelter Look-up'!$J:$J,0),MATCH($B302&amp;$C302,'Smelter Look-up'!$J:$J,0)))</f>
        <v>184</v>
      </c>
      <c r="X302" s="227">
        <f t="shared" si="42"/>
        <v>0</v>
      </c>
      <c r="AB302" s="228" t="str">
        <f t="shared" si="43"/>
        <v>GoldMetalor Technologies (Singapore) Pte., Ltd.</v>
      </c>
    </row>
    <row r="303" spans="1:28" s="227" customFormat="1" ht="94.5">
      <c r="A303" s="301" t="s">
        <v>700</v>
      </c>
      <c r="B303" s="293" t="s">
        <v>1119</v>
      </c>
      <c r="C303" s="294" t="s">
        <v>2135</v>
      </c>
      <c r="D303" s="295" t="s">
        <v>2135</v>
      </c>
      <c r="E303" s="293" t="s">
        <v>876</v>
      </c>
      <c r="F303" s="293" t="s">
        <v>700</v>
      </c>
      <c r="G303" s="293" t="s">
        <v>13217</v>
      </c>
      <c r="H303" s="302" t="s">
        <v>15880</v>
      </c>
      <c r="I303" s="297" t="s">
        <v>12701</v>
      </c>
      <c r="J303" s="297" t="s">
        <v>10273</v>
      </c>
      <c r="K303" s="298" t="s">
        <v>15855</v>
      </c>
      <c r="L303" s="298" t="s">
        <v>15855</v>
      </c>
      <c r="M303" s="298" t="s">
        <v>15855</v>
      </c>
      <c r="N303" s="298" t="s">
        <v>15855</v>
      </c>
      <c r="O303" s="298" t="s">
        <v>15855</v>
      </c>
      <c r="P303" s="299" t="s">
        <v>15857</v>
      </c>
      <c r="Q303" s="300" t="s">
        <v>15855</v>
      </c>
      <c r="R303" s="182" t="str">
        <f ca="1">IF(ISERROR($V303),"",OFFSET('Smelter Look-up'!$C$4,$V303-4,0)&amp;"")</f>
        <v>Metalor Technologies (Singapore) Pte., Ltd.</v>
      </c>
      <c r="S303" s="181" t="str">
        <f t="shared" ca="1" si="41"/>
        <v>SG</v>
      </c>
      <c r="T303" s="181" t="str">
        <f ca="1">IF(B303="","",IF(ISERROR(MATCH($J303,SorP!$B$1:$B$6226,0)),"",INDIRECT("'SorP'!$A$"&amp;MATCH($S303&amp;$J303,SorP!C:C,0))))</f>
        <v>SG-05</v>
      </c>
      <c r="U303" s="201"/>
      <c r="V303" s="226">
        <f>IF(C303="",NA(),IF(OR(C303="Smelter not listed",C303="Smelter not yet identified"),MATCH($B303&amp;$D303,'Smelter Look-up'!$J:$J,0),MATCH($B303&amp;$C303,'Smelter Look-up'!$J:$J,0)))</f>
        <v>184</v>
      </c>
      <c r="X303" s="227">
        <f t="shared" si="42"/>
        <v>0</v>
      </c>
      <c r="AB303" s="228" t="str">
        <f t="shared" si="43"/>
        <v>GoldMetalor Technologies (Singapore) Pte., Ltd.</v>
      </c>
    </row>
    <row r="304" spans="1:28" s="227" customFormat="1" ht="94.5">
      <c r="A304" s="301" t="s">
        <v>700</v>
      </c>
      <c r="B304" s="293" t="s">
        <v>1119</v>
      </c>
      <c r="C304" s="294" t="s">
        <v>2135</v>
      </c>
      <c r="D304" s="295" t="s">
        <v>2135</v>
      </c>
      <c r="E304" s="293" t="s">
        <v>876</v>
      </c>
      <c r="F304" s="293" t="s">
        <v>700</v>
      </c>
      <c r="G304" s="293" t="s">
        <v>13217</v>
      </c>
      <c r="H304" s="296" t="s">
        <v>16116</v>
      </c>
      <c r="I304" s="297" t="s">
        <v>12701</v>
      </c>
      <c r="J304" s="297" t="s">
        <v>10273</v>
      </c>
      <c r="K304" s="298" t="s">
        <v>16117</v>
      </c>
      <c r="L304" s="298" t="s">
        <v>16118</v>
      </c>
      <c r="M304" s="298" t="s">
        <v>15855</v>
      </c>
      <c r="N304" s="298" t="s">
        <v>16110</v>
      </c>
      <c r="O304" s="298" t="s">
        <v>16110</v>
      </c>
      <c r="P304" s="299" t="s">
        <v>15857</v>
      </c>
      <c r="Q304" s="300" t="s">
        <v>15855</v>
      </c>
      <c r="R304" s="182" t="str">
        <f ca="1">IF(ISERROR($V304),"",OFFSET('Smelter Look-up'!$C$4,$V304-4,0)&amp;"")</f>
        <v>Metalor Technologies (Singapore) Pte., Ltd.</v>
      </c>
      <c r="S304" s="181" t="str">
        <f t="shared" ca="1" si="41"/>
        <v>SG</v>
      </c>
      <c r="T304" s="181" t="str">
        <f ca="1">IF(B304="","",IF(ISERROR(MATCH($J304,SorP!$B$1:$B$6226,0)),"",INDIRECT("'SorP'!$A$"&amp;MATCH($S304&amp;$J304,SorP!C:C,0))))</f>
        <v>SG-05</v>
      </c>
      <c r="U304" s="201"/>
      <c r="V304" s="226">
        <f>IF(C304="",NA(),IF(OR(C304="Smelter not listed",C304="Smelter not yet identified"),MATCH($B304&amp;$D304,'Smelter Look-up'!$J:$J,0),MATCH($B304&amp;$C304,'Smelter Look-up'!$J:$J,0)))</f>
        <v>184</v>
      </c>
      <c r="X304" s="227">
        <f t="shared" si="42"/>
        <v>0</v>
      </c>
      <c r="AB304" s="228" t="str">
        <f t="shared" si="43"/>
        <v>GoldMetalor Technologies (Singapore) Pte., Ltd.</v>
      </c>
    </row>
    <row r="305" spans="1:28" s="227" customFormat="1" ht="81">
      <c r="A305" s="301" t="s">
        <v>1612</v>
      </c>
      <c r="B305" s="293" t="s">
        <v>1119</v>
      </c>
      <c r="C305" s="294" t="s">
        <v>1611</v>
      </c>
      <c r="D305" s="295" t="s">
        <v>1611</v>
      </c>
      <c r="E305" s="293" t="s">
        <v>1090</v>
      </c>
      <c r="F305" s="293" t="s">
        <v>1612</v>
      </c>
      <c r="G305" s="293" t="s">
        <v>13217</v>
      </c>
      <c r="H305" s="296" t="s">
        <v>15855</v>
      </c>
      <c r="I305" s="297" t="s">
        <v>16119</v>
      </c>
      <c r="J305" s="297" t="s">
        <v>13609</v>
      </c>
      <c r="K305" s="298" t="s">
        <v>16120</v>
      </c>
      <c r="L305" s="298" t="s">
        <v>16121</v>
      </c>
      <c r="M305" s="298" t="s">
        <v>15855</v>
      </c>
      <c r="N305" s="298" t="s">
        <v>16122</v>
      </c>
      <c r="O305" s="298" t="s">
        <v>16123</v>
      </c>
      <c r="P305" s="299" t="s">
        <v>15857</v>
      </c>
      <c r="Q305" s="300" t="s">
        <v>16124</v>
      </c>
      <c r="R305" s="182" t="str">
        <f ca="1">IF(ISERROR($V305),"",OFFSET('Smelter Look-up'!$C$4,$V305-4,0)&amp;"")</f>
        <v>Metalor Technologies (Suzhou) Ltd.</v>
      </c>
      <c r="S305" s="181" t="str">
        <f t="shared" ca="1" si="41"/>
        <v>CN</v>
      </c>
      <c r="T305" s="181" t="str">
        <f ca="1">IF(B305="","",IF(ISERROR(MATCH($J305,SorP!$B$1:$B$6226,0)),"",INDIRECT("'SorP'!$A$"&amp;MATCH($S305&amp;$J305,SorP!C:C,0))))</f>
        <v>CN-JS</v>
      </c>
      <c r="U305" s="201"/>
      <c r="V305" s="226">
        <f>IF(C305="",NA(),IF(OR(C305="Smelter not listed",C305="Smelter not yet identified"),MATCH($B305&amp;$D305,'Smelter Look-up'!$J:$J,0),MATCH($B305&amp;$C305,'Smelter Look-up'!$J:$J,0)))</f>
        <v>185</v>
      </c>
      <c r="X305" s="227">
        <f t="shared" si="42"/>
        <v>0</v>
      </c>
      <c r="AB305" s="228" t="str">
        <f t="shared" si="43"/>
        <v>GoldMetalor Technologies (Suzhou) Ltd.</v>
      </c>
    </row>
    <row r="306" spans="1:28" s="227" customFormat="1" ht="81">
      <c r="A306" s="301" t="s">
        <v>1612</v>
      </c>
      <c r="B306" s="293" t="s">
        <v>1119</v>
      </c>
      <c r="C306" s="294" t="s">
        <v>1611</v>
      </c>
      <c r="D306" s="295" t="s">
        <v>1611</v>
      </c>
      <c r="E306" s="293" t="s">
        <v>1090</v>
      </c>
      <c r="F306" s="293" t="s">
        <v>1612</v>
      </c>
      <c r="G306" s="293" t="s">
        <v>13217</v>
      </c>
      <c r="H306" s="296" t="s">
        <v>15855</v>
      </c>
      <c r="I306" s="297" t="s">
        <v>2495</v>
      </c>
      <c r="J306" s="297" t="s">
        <v>13609</v>
      </c>
      <c r="K306" s="298" t="s">
        <v>15855</v>
      </c>
      <c r="L306" s="298" t="s">
        <v>15855</v>
      </c>
      <c r="M306" s="298" t="s">
        <v>15855</v>
      </c>
      <c r="N306" s="298" t="s">
        <v>15855</v>
      </c>
      <c r="O306" s="298" t="s">
        <v>15855</v>
      </c>
      <c r="P306" s="299" t="s">
        <v>15857</v>
      </c>
      <c r="Q306" s="300" t="s">
        <v>15855</v>
      </c>
      <c r="R306" s="182" t="str">
        <f ca="1">IF(ISERROR($V306),"",OFFSET('Smelter Look-up'!$C$4,$V306-4,0)&amp;"")</f>
        <v>Metalor Technologies (Suzhou) Ltd.</v>
      </c>
      <c r="S306" s="181" t="str">
        <f t="shared" ca="1" si="41"/>
        <v>CN</v>
      </c>
      <c r="T306" s="181" t="str">
        <f ca="1">IF(B306="","",IF(ISERROR(MATCH($J306,SorP!$B$1:$B$6226,0)),"",INDIRECT("'SorP'!$A$"&amp;MATCH($S306&amp;$J306,SorP!C:C,0))))</f>
        <v>CN-JS</v>
      </c>
      <c r="U306" s="201"/>
      <c r="V306" s="226">
        <f>IF(C306="",NA(),IF(OR(C306="Smelter not listed",C306="Smelter not yet identified"),MATCH($B306&amp;$D306,'Smelter Look-up'!$J:$J,0),MATCH($B306&amp;$C306,'Smelter Look-up'!$J:$J,0)))</f>
        <v>185</v>
      </c>
      <c r="X306" s="227">
        <f t="shared" si="42"/>
        <v>0</v>
      </c>
      <c r="AB306" s="228" t="str">
        <f t="shared" si="43"/>
        <v>GoldMetalor Technologies (Suzhou) Ltd.</v>
      </c>
    </row>
    <row r="307" spans="1:28" s="227" customFormat="1" ht="81">
      <c r="A307" s="301" t="s">
        <v>1612</v>
      </c>
      <c r="B307" s="293" t="s">
        <v>1119</v>
      </c>
      <c r="C307" s="294" t="s">
        <v>1611</v>
      </c>
      <c r="D307" s="295" t="s">
        <v>1611</v>
      </c>
      <c r="E307" s="293" t="s">
        <v>1090</v>
      </c>
      <c r="F307" s="293" t="s">
        <v>1612</v>
      </c>
      <c r="G307" s="293" t="s">
        <v>13217</v>
      </c>
      <c r="H307" s="296" t="s">
        <v>15855</v>
      </c>
      <c r="I307" s="297" t="s">
        <v>2495</v>
      </c>
      <c r="J307" s="297" t="s">
        <v>13609</v>
      </c>
      <c r="K307" s="298" t="s">
        <v>15855</v>
      </c>
      <c r="L307" s="298" t="s">
        <v>15855</v>
      </c>
      <c r="M307" s="298" t="s">
        <v>15855</v>
      </c>
      <c r="N307" s="298" t="s">
        <v>15855</v>
      </c>
      <c r="O307" s="298" t="s">
        <v>16125</v>
      </c>
      <c r="P307" s="299" t="s">
        <v>15857</v>
      </c>
      <c r="Q307" s="300" t="s">
        <v>15855</v>
      </c>
      <c r="R307" s="182" t="str">
        <f ca="1">IF(ISERROR($V307),"",OFFSET('Smelter Look-up'!$C$4,$V307-4,0)&amp;"")</f>
        <v>Metalor Technologies (Suzhou) Ltd.</v>
      </c>
      <c r="S307" s="181" t="str">
        <f t="shared" ca="1" si="41"/>
        <v>CN</v>
      </c>
      <c r="T307" s="181" t="str">
        <f ca="1">IF(B307="","",IF(ISERROR(MATCH($J307,SorP!$B$1:$B$6226,0)),"",INDIRECT("'SorP'!$A$"&amp;MATCH($S307&amp;$J307,SorP!C:C,0))))</f>
        <v>CN-JS</v>
      </c>
      <c r="U307" s="201"/>
      <c r="V307" s="226">
        <f>IF(C307="",NA(),IF(OR(C307="Smelter not listed",C307="Smelter not yet identified"),MATCH($B307&amp;$D307,'Smelter Look-up'!$J:$J,0),MATCH($B307&amp;$C307,'Smelter Look-up'!$J:$J,0)))</f>
        <v>185</v>
      </c>
      <c r="X307" s="227">
        <f t="shared" si="42"/>
        <v>0</v>
      </c>
      <c r="AB307" s="228" t="str">
        <f t="shared" si="43"/>
        <v>GoldMetalor Technologies (Suzhou) Ltd.</v>
      </c>
    </row>
    <row r="308" spans="1:28" s="227" customFormat="1" ht="81">
      <c r="A308" s="301" t="s">
        <v>1612</v>
      </c>
      <c r="B308" s="293" t="s">
        <v>1119</v>
      </c>
      <c r="C308" s="294" t="s">
        <v>1611</v>
      </c>
      <c r="D308" s="295" t="s">
        <v>1611</v>
      </c>
      <c r="E308" s="293" t="s">
        <v>1090</v>
      </c>
      <c r="F308" s="293" t="s">
        <v>1612</v>
      </c>
      <c r="G308" s="293" t="s">
        <v>13217</v>
      </c>
      <c r="H308" s="296" t="s">
        <v>15855</v>
      </c>
      <c r="I308" s="297" t="s">
        <v>2495</v>
      </c>
      <c r="J308" s="297" t="s">
        <v>13609</v>
      </c>
      <c r="K308" s="298" t="s">
        <v>16126</v>
      </c>
      <c r="L308" s="298" t="s">
        <v>16127</v>
      </c>
      <c r="M308" s="298" t="s">
        <v>16114</v>
      </c>
      <c r="N308" s="298" t="s">
        <v>16128</v>
      </c>
      <c r="O308" s="298" t="s">
        <v>16110</v>
      </c>
      <c r="P308" s="299" t="s">
        <v>15857</v>
      </c>
      <c r="Q308" s="300" t="s">
        <v>15855</v>
      </c>
      <c r="R308" s="182" t="str">
        <f ca="1">IF(ISERROR($V308),"",OFFSET('Smelter Look-up'!$C$4,$V308-4,0)&amp;"")</f>
        <v>Metalor Technologies (Suzhou) Ltd.</v>
      </c>
      <c r="S308" s="181" t="str">
        <f t="shared" ca="1" si="41"/>
        <v>CN</v>
      </c>
      <c r="T308" s="181" t="str">
        <f ca="1">IF(B308="","",IF(ISERROR(MATCH($J308,SorP!$B$1:$B$6226,0)),"",INDIRECT("'SorP'!$A$"&amp;MATCH($S308&amp;$J308,SorP!C:C,0))))</f>
        <v>CN-JS</v>
      </c>
      <c r="U308" s="201"/>
      <c r="V308" s="226">
        <f>IF(C308="",NA(),IF(OR(C308="Smelter not listed",C308="Smelter not yet identified"),MATCH($B308&amp;$D308,'Smelter Look-up'!$J:$J,0),MATCH($B308&amp;$C308,'Smelter Look-up'!$J:$J,0)))</f>
        <v>185</v>
      </c>
      <c r="X308" s="227">
        <f t="shared" si="42"/>
        <v>0</v>
      </c>
      <c r="AB308" s="228" t="str">
        <f t="shared" si="43"/>
        <v>GoldMetalor Technologies (Suzhou) Ltd.</v>
      </c>
    </row>
    <row r="309" spans="1:28" s="227" customFormat="1" ht="81">
      <c r="A309" s="301" t="s">
        <v>1612</v>
      </c>
      <c r="B309" s="293" t="s">
        <v>1119</v>
      </c>
      <c r="C309" s="294" t="s">
        <v>1611</v>
      </c>
      <c r="D309" s="295" t="s">
        <v>1611</v>
      </c>
      <c r="E309" s="293" t="s">
        <v>1090</v>
      </c>
      <c r="F309" s="293" t="s">
        <v>1612</v>
      </c>
      <c r="G309" s="293" t="s">
        <v>13217</v>
      </c>
      <c r="H309" s="302" t="s">
        <v>15880</v>
      </c>
      <c r="I309" s="297" t="s">
        <v>2495</v>
      </c>
      <c r="J309" s="297" t="s">
        <v>16129</v>
      </c>
      <c r="K309" s="298" t="s">
        <v>15855</v>
      </c>
      <c r="L309" s="298" t="s">
        <v>15855</v>
      </c>
      <c r="M309" s="298" t="s">
        <v>15855</v>
      </c>
      <c r="N309" s="298" t="s">
        <v>15855</v>
      </c>
      <c r="O309" s="298" t="s">
        <v>15855</v>
      </c>
      <c r="P309" s="299" t="s">
        <v>15857</v>
      </c>
      <c r="Q309" s="300" t="s">
        <v>15855</v>
      </c>
      <c r="R309" s="182" t="str">
        <f ca="1">IF(ISERROR($V309),"",OFFSET('Smelter Look-up'!$C$4,$V309-4,0)&amp;"")</f>
        <v>Metalor Technologies (Suzhou) Ltd.</v>
      </c>
      <c r="S309" s="181" t="str">
        <f t="shared" ca="1" si="41"/>
        <v>CN</v>
      </c>
      <c r="T309" s="181" t="str">
        <f ca="1">IF(B309="","",IF(ISERROR(MATCH($J309,SorP!$B$1:$B$6226,0)),"",INDIRECT("'SorP'!$A$"&amp;MATCH($S309&amp;$J309,SorP!C:C,0))))</f>
        <v/>
      </c>
      <c r="U309" s="201"/>
      <c r="V309" s="226">
        <f>IF(C309="",NA(),IF(OR(C309="Smelter not listed",C309="Smelter not yet identified"),MATCH($B309&amp;$D309,'Smelter Look-up'!$J:$J,0),MATCH($B309&amp;$C309,'Smelter Look-up'!$J:$J,0)))</f>
        <v>185</v>
      </c>
      <c r="X309" s="227">
        <f t="shared" si="42"/>
        <v>0</v>
      </c>
      <c r="AB309" s="228" t="str">
        <f t="shared" si="43"/>
        <v>GoldMetalor Technologies (Suzhou) Ltd.</v>
      </c>
    </row>
    <row r="310" spans="1:28" s="227" customFormat="1" ht="81">
      <c r="A310" s="301" t="s">
        <v>1612</v>
      </c>
      <c r="B310" s="293" t="s">
        <v>1119</v>
      </c>
      <c r="C310" s="294" t="s">
        <v>1611</v>
      </c>
      <c r="D310" s="295" t="s">
        <v>1611</v>
      </c>
      <c r="E310" s="293" t="s">
        <v>1090</v>
      </c>
      <c r="F310" s="293" t="s">
        <v>1612</v>
      </c>
      <c r="G310" s="293" t="s">
        <v>13217</v>
      </c>
      <c r="H310" s="302" t="s">
        <v>15880</v>
      </c>
      <c r="I310" s="297" t="s">
        <v>2495</v>
      </c>
      <c r="J310" s="297" t="s">
        <v>13609</v>
      </c>
      <c r="K310" s="298" t="s">
        <v>15855</v>
      </c>
      <c r="L310" s="298" t="s">
        <v>15855</v>
      </c>
      <c r="M310" s="298" t="s">
        <v>15855</v>
      </c>
      <c r="N310" s="298" t="s">
        <v>15855</v>
      </c>
      <c r="O310" s="298" t="s">
        <v>15855</v>
      </c>
      <c r="P310" s="299" t="s">
        <v>15857</v>
      </c>
      <c r="Q310" s="300" t="s">
        <v>15855</v>
      </c>
      <c r="R310" s="182" t="str">
        <f ca="1">IF(ISERROR($V310),"",OFFSET('Smelter Look-up'!$C$4,$V310-4,0)&amp;"")</f>
        <v>Metalor Technologies (Suzhou) Ltd.</v>
      </c>
      <c r="S310" s="181" t="str">
        <f t="shared" ca="1" si="41"/>
        <v>CN</v>
      </c>
      <c r="T310" s="181" t="str">
        <f ca="1">IF(B310="","",IF(ISERROR(MATCH($J310,SorP!$B$1:$B$6226,0)),"",INDIRECT("'SorP'!$A$"&amp;MATCH($S310&amp;$J310,SorP!C:C,0))))</f>
        <v>CN-JS</v>
      </c>
      <c r="U310" s="201"/>
      <c r="V310" s="226">
        <f>IF(C310="",NA(),IF(OR(C310="Smelter not listed",C310="Smelter not yet identified"),MATCH($B310&amp;$D310,'Smelter Look-up'!$J:$J,0),MATCH($B310&amp;$C310,'Smelter Look-up'!$J:$J,0)))</f>
        <v>185</v>
      </c>
      <c r="X310" s="227">
        <f t="shared" si="42"/>
        <v>0</v>
      </c>
      <c r="AB310" s="228" t="str">
        <f t="shared" si="43"/>
        <v>GoldMetalor Technologies (Suzhou) Ltd.</v>
      </c>
    </row>
    <row r="311" spans="1:28" s="227" customFormat="1" ht="81">
      <c r="A311" s="301" t="s">
        <v>1612</v>
      </c>
      <c r="B311" s="293" t="s">
        <v>1119</v>
      </c>
      <c r="C311" s="294" t="s">
        <v>1611</v>
      </c>
      <c r="D311" s="295" t="s">
        <v>1611</v>
      </c>
      <c r="E311" s="293" t="s">
        <v>1090</v>
      </c>
      <c r="F311" s="293" t="s">
        <v>1612</v>
      </c>
      <c r="G311" s="293" t="s">
        <v>13217</v>
      </c>
      <c r="H311" s="302" t="s">
        <v>15880</v>
      </c>
      <c r="I311" s="297" t="s">
        <v>2495</v>
      </c>
      <c r="J311" s="297" t="s">
        <v>13609</v>
      </c>
      <c r="K311" s="298" t="s">
        <v>15881</v>
      </c>
      <c r="L311" s="298" t="s">
        <v>15881</v>
      </c>
      <c r="M311" s="298" t="s">
        <v>12593</v>
      </c>
      <c r="N311" s="298" t="s">
        <v>15881</v>
      </c>
      <c r="O311" s="298" t="s">
        <v>15881</v>
      </c>
      <c r="P311" s="299" t="s">
        <v>15857</v>
      </c>
      <c r="Q311" s="300" t="s">
        <v>15855</v>
      </c>
      <c r="R311" s="182" t="str">
        <f ca="1">IF(ISERROR($V311),"",OFFSET('Smelter Look-up'!$C$4,$V311-4,0)&amp;"")</f>
        <v>Metalor Technologies (Suzhou) Ltd.</v>
      </c>
      <c r="S311" s="181" t="str">
        <f t="shared" ca="1" si="41"/>
        <v>CN</v>
      </c>
      <c r="T311" s="181" t="str">
        <f ca="1">IF(B311="","",IF(ISERROR(MATCH($J311,SorP!$B$1:$B$6226,0)),"",INDIRECT("'SorP'!$A$"&amp;MATCH($S311&amp;$J311,SorP!C:C,0))))</f>
        <v>CN-JS</v>
      </c>
      <c r="U311" s="201"/>
      <c r="V311" s="226">
        <f>IF(C311="",NA(),IF(OR(C311="Smelter not listed",C311="Smelter not yet identified"),MATCH($B311&amp;$D311,'Smelter Look-up'!$J:$J,0),MATCH($B311&amp;$C311,'Smelter Look-up'!$J:$J,0)))</f>
        <v>185</v>
      </c>
      <c r="X311" s="227">
        <f t="shared" si="42"/>
        <v>0</v>
      </c>
      <c r="AB311" s="228" t="str">
        <f t="shared" si="43"/>
        <v>GoldMetalor Technologies (Suzhou) Ltd.</v>
      </c>
    </row>
    <row r="312" spans="1:28" s="227" customFormat="1" ht="81">
      <c r="A312" s="301" t="s">
        <v>1612</v>
      </c>
      <c r="B312" s="293" t="s">
        <v>1119</v>
      </c>
      <c r="C312" s="294" t="s">
        <v>1611</v>
      </c>
      <c r="D312" s="295" t="s">
        <v>1611</v>
      </c>
      <c r="E312" s="293" t="s">
        <v>1090</v>
      </c>
      <c r="F312" s="293" t="s">
        <v>1612</v>
      </c>
      <c r="G312" s="293" t="s">
        <v>13217</v>
      </c>
      <c r="H312" s="296" t="s">
        <v>16130</v>
      </c>
      <c r="I312" s="297" t="s">
        <v>2495</v>
      </c>
      <c r="J312" s="297" t="s">
        <v>13609</v>
      </c>
      <c r="K312" s="298" t="s">
        <v>16131</v>
      </c>
      <c r="L312" s="298" t="s">
        <v>16132</v>
      </c>
      <c r="M312" s="298" t="s">
        <v>15855</v>
      </c>
      <c r="N312" s="298" t="s">
        <v>16110</v>
      </c>
      <c r="O312" s="298" t="s">
        <v>16110</v>
      </c>
      <c r="P312" s="299" t="s">
        <v>15857</v>
      </c>
      <c r="Q312" s="300" t="s">
        <v>15855</v>
      </c>
      <c r="R312" s="182" t="str">
        <f ca="1">IF(ISERROR($V312),"",OFFSET('Smelter Look-up'!$C$4,$V312-4,0)&amp;"")</f>
        <v>Metalor Technologies (Suzhou) Ltd.</v>
      </c>
      <c r="S312" s="181" t="str">
        <f t="shared" ca="1" si="41"/>
        <v>CN</v>
      </c>
      <c r="T312" s="181" t="str">
        <f ca="1">IF(B312="","",IF(ISERROR(MATCH($J312,SorP!$B$1:$B$6226,0)),"",INDIRECT("'SorP'!$A$"&amp;MATCH($S312&amp;$J312,SorP!C:C,0))))</f>
        <v>CN-JS</v>
      </c>
      <c r="U312" s="201"/>
      <c r="V312" s="226">
        <f>IF(C312="",NA(),IF(OR(C312="Smelter not listed",C312="Smelter not yet identified"),MATCH($B312&amp;$D312,'Smelter Look-up'!$J:$J,0),MATCH($B312&amp;$C312,'Smelter Look-up'!$J:$J,0)))</f>
        <v>185</v>
      </c>
      <c r="X312" s="227">
        <f t="shared" si="42"/>
        <v>0</v>
      </c>
      <c r="AB312" s="228" t="str">
        <f t="shared" si="43"/>
        <v>GoldMetalor Technologies (Suzhou) Ltd.</v>
      </c>
    </row>
    <row r="313" spans="1:28" s="227" customFormat="1" ht="54">
      <c r="A313" s="301" t="s">
        <v>701</v>
      </c>
      <c r="B313" s="293" t="s">
        <v>1119</v>
      </c>
      <c r="C313" s="294" t="s">
        <v>2288</v>
      </c>
      <c r="D313" s="295" t="s">
        <v>2288</v>
      </c>
      <c r="E313" s="293" t="s">
        <v>1088</v>
      </c>
      <c r="F313" s="293" t="s">
        <v>701</v>
      </c>
      <c r="G313" s="293" t="s">
        <v>15864</v>
      </c>
      <c r="H313" s="302" t="s">
        <v>15880</v>
      </c>
      <c r="I313" s="297" t="s">
        <v>1614</v>
      </c>
      <c r="J313" s="297" t="s">
        <v>1615</v>
      </c>
      <c r="K313" s="298" t="s">
        <v>15855</v>
      </c>
      <c r="L313" s="298" t="s">
        <v>15855</v>
      </c>
      <c r="M313" s="298" t="s">
        <v>15855</v>
      </c>
      <c r="N313" s="298" t="s">
        <v>15896</v>
      </c>
      <c r="O313" s="298" t="s">
        <v>15896</v>
      </c>
      <c r="P313" s="299" t="s">
        <v>15857</v>
      </c>
      <c r="Q313" s="300" t="s">
        <v>15855</v>
      </c>
      <c r="R313" s="182" t="str">
        <f ca="1">IF(ISERROR($V313),"",OFFSET('Smelter Look-up'!$C$4,$V313-4,0)&amp;"")</f>
        <v>Metalor Technologies S.A.</v>
      </c>
      <c r="S313" s="181" t="str">
        <f t="shared" ca="1" si="41"/>
        <v>CH</v>
      </c>
      <c r="T313" s="181" t="str">
        <f ca="1">IF(B313="","",IF(ISERROR(MATCH($J313,SorP!$B$1:$B$6226,0)),"",INDIRECT("'SorP'!$A$"&amp;MATCH($S313&amp;$J313,SorP!C:C,0))))</f>
        <v>CH-NE</v>
      </c>
      <c r="U313" s="201"/>
      <c r="V313" s="226">
        <f>IF(C313="",NA(),IF(OR(C313="Smelter not listed",C313="Smelter not yet identified"),MATCH($B313&amp;$D313,'Smelter Look-up'!$J:$J,0),MATCH($B313&amp;$C313,'Smelter Look-up'!$J:$J,0)))</f>
        <v>186</v>
      </c>
      <c r="X313" s="227">
        <f t="shared" si="42"/>
        <v>0</v>
      </c>
      <c r="AB313" s="228" t="str">
        <f t="shared" si="43"/>
        <v>GoldMetalor Technologies S.A.</v>
      </c>
    </row>
    <row r="314" spans="1:28" s="227" customFormat="1" ht="54">
      <c r="A314" s="301" t="s">
        <v>701</v>
      </c>
      <c r="B314" s="293" t="s">
        <v>1119</v>
      </c>
      <c r="C314" s="294" t="s">
        <v>2288</v>
      </c>
      <c r="D314" s="295" t="s">
        <v>2288</v>
      </c>
      <c r="E314" s="293" t="s">
        <v>1088</v>
      </c>
      <c r="F314" s="293" t="s">
        <v>701</v>
      </c>
      <c r="G314" s="293" t="s">
        <v>13217</v>
      </c>
      <c r="H314" s="296" t="s">
        <v>15855</v>
      </c>
      <c r="I314" s="297" t="s">
        <v>1614</v>
      </c>
      <c r="J314" s="297" t="s">
        <v>1615</v>
      </c>
      <c r="K314" s="298" t="s">
        <v>15855</v>
      </c>
      <c r="L314" s="298" t="s">
        <v>15855</v>
      </c>
      <c r="M314" s="298" t="s">
        <v>15855</v>
      </c>
      <c r="N314" s="298" t="s">
        <v>15855</v>
      </c>
      <c r="O314" s="298" t="s">
        <v>15855</v>
      </c>
      <c r="P314" s="299" t="s">
        <v>15857</v>
      </c>
      <c r="Q314" s="300" t="s">
        <v>15855</v>
      </c>
      <c r="R314" s="182" t="str">
        <f ca="1">IF(ISERROR($V314),"",OFFSET('Smelter Look-up'!$C$4,$V314-4,0)&amp;"")</f>
        <v>Metalor Technologies S.A.</v>
      </c>
      <c r="S314" s="181" t="str">
        <f t="shared" ca="1" si="41"/>
        <v>CH</v>
      </c>
      <c r="T314" s="181" t="str">
        <f ca="1">IF(B314="","",IF(ISERROR(MATCH($J314,SorP!$B$1:$B$6226,0)),"",INDIRECT("'SorP'!$A$"&amp;MATCH($S314&amp;$J314,SorP!C:C,0))))</f>
        <v>CH-NE</v>
      </c>
      <c r="U314" s="201"/>
      <c r="V314" s="226">
        <f>IF(C314="",NA(),IF(OR(C314="Smelter not listed",C314="Smelter not yet identified"),MATCH($B314&amp;$D314,'Smelter Look-up'!$J:$J,0),MATCH($B314&amp;$C314,'Smelter Look-up'!$J:$J,0)))</f>
        <v>186</v>
      </c>
      <c r="X314" s="227">
        <f t="shared" si="42"/>
        <v>0</v>
      </c>
      <c r="AB314" s="228" t="str">
        <f t="shared" si="43"/>
        <v>GoldMetalor Technologies S.A.</v>
      </c>
    </row>
    <row r="315" spans="1:28" s="227" customFormat="1" ht="54">
      <c r="A315" s="301" t="s">
        <v>701</v>
      </c>
      <c r="B315" s="293" t="s">
        <v>1119</v>
      </c>
      <c r="C315" s="294" t="s">
        <v>2288</v>
      </c>
      <c r="D315" s="295" t="s">
        <v>2288</v>
      </c>
      <c r="E315" s="293" t="s">
        <v>1088</v>
      </c>
      <c r="F315" s="293" t="s">
        <v>701</v>
      </c>
      <c r="G315" s="293" t="s">
        <v>13217</v>
      </c>
      <c r="H315" s="296" t="s">
        <v>15855</v>
      </c>
      <c r="I315" s="297" t="s">
        <v>1614</v>
      </c>
      <c r="J315" s="297" t="s">
        <v>1615</v>
      </c>
      <c r="K315" s="298" t="s">
        <v>15855</v>
      </c>
      <c r="L315" s="298" t="s">
        <v>15855</v>
      </c>
      <c r="M315" s="298" t="s">
        <v>15855</v>
      </c>
      <c r="N315" s="298" t="s">
        <v>15855</v>
      </c>
      <c r="O315" s="298" t="s">
        <v>15855</v>
      </c>
      <c r="P315" s="299" t="s">
        <v>15875</v>
      </c>
      <c r="Q315" s="300" t="s">
        <v>15855</v>
      </c>
      <c r="R315" s="182" t="str">
        <f ca="1">IF(ISERROR($V315),"",OFFSET('Smelter Look-up'!$C$4,$V315-4,0)&amp;"")</f>
        <v>Metalor Technologies S.A.</v>
      </c>
      <c r="S315" s="181" t="str">
        <f t="shared" ca="1" si="41"/>
        <v>CH</v>
      </c>
      <c r="T315" s="181" t="str">
        <f ca="1">IF(B315="","",IF(ISERROR(MATCH($J315,SorP!$B$1:$B$6226,0)),"",INDIRECT("'SorP'!$A$"&amp;MATCH($S315&amp;$J315,SorP!C:C,0))))</f>
        <v>CH-NE</v>
      </c>
      <c r="U315" s="201"/>
      <c r="V315" s="226">
        <f>IF(C315="",NA(),IF(OR(C315="Smelter not listed",C315="Smelter not yet identified"),MATCH($B315&amp;$D315,'Smelter Look-up'!$J:$J,0),MATCH($B315&amp;$C315,'Smelter Look-up'!$J:$J,0)))</f>
        <v>186</v>
      </c>
      <c r="X315" s="227">
        <f t="shared" si="42"/>
        <v>0</v>
      </c>
      <c r="AB315" s="228" t="str">
        <f t="shared" si="43"/>
        <v>GoldMetalor Technologies S.A.</v>
      </c>
    </row>
    <row r="316" spans="1:28" s="227" customFormat="1" ht="54">
      <c r="A316" s="301" t="s">
        <v>701</v>
      </c>
      <c r="B316" s="293" t="s">
        <v>1119</v>
      </c>
      <c r="C316" s="294" t="s">
        <v>2288</v>
      </c>
      <c r="D316" s="295" t="s">
        <v>2288</v>
      </c>
      <c r="E316" s="293" t="s">
        <v>1088</v>
      </c>
      <c r="F316" s="293" t="s">
        <v>701</v>
      </c>
      <c r="G316" s="293" t="s">
        <v>13217</v>
      </c>
      <c r="H316" s="296" t="s">
        <v>15855</v>
      </c>
      <c r="I316" s="297" t="s">
        <v>1614</v>
      </c>
      <c r="J316" s="297" t="s">
        <v>1615</v>
      </c>
      <c r="K316" s="298" t="s">
        <v>15855</v>
      </c>
      <c r="L316" s="298" t="s">
        <v>15855</v>
      </c>
      <c r="M316" s="298" t="s">
        <v>15855</v>
      </c>
      <c r="N316" s="298" t="s">
        <v>15855</v>
      </c>
      <c r="O316" s="298" t="s">
        <v>16133</v>
      </c>
      <c r="P316" s="299" t="s">
        <v>15857</v>
      </c>
      <c r="Q316" s="300" t="s">
        <v>15855</v>
      </c>
      <c r="R316" s="182" t="str">
        <f ca="1">IF(ISERROR($V316),"",OFFSET('Smelter Look-up'!$C$4,$V316-4,0)&amp;"")</f>
        <v>Metalor Technologies S.A.</v>
      </c>
      <c r="S316" s="181" t="str">
        <f t="shared" ca="1" si="41"/>
        <v>CH</v>
      </c>
      <c r="T316" s="181" t="str">
        <f ca="1">IF(B316="","",IF(ISERROR(MATCH($J316,SorP!$B$1:$B$6226,0)),"",INDIRECT("'SorP'!$A$"&amp;MATCH($S316&amp;$J316,SorP!C:C,0))))</f>
        <v>CH-NE</v>
      </c>
      <c r="U316" s="201"/>
      <c r="V316" s="226">
        <f>IF(C316="",NA(),IF(OR(C316="Smelter not listed",C316="Smelter not yet identified"),MATCH($B316&amp;$D316,'Smelter Look-up'!$J:$J,0),MATCH($B316&amp;$C316,'Smelter Look-up'!$J:$J,0)))</f>
        <v>186</v>
      </c>
      <c r="X316" s="227">
        <f t="shared" si="42"/>
        <v>0</v>
      </c>
      <c r="AB316" s="228" t="str">
        <f t="shared" si="43"/>
        <v>GoldMetalor Technologies S.A.</v>
      </c>
    </row>
    <row r="317" spans="1:28" s="227" customFormat="1" ht="54">
      <c r="A317" s="301" t="s">
        <v>701</v>
      </c>
      <c r="B317" s="293" t="s">
        <v>1119</v>
      </c>
      <c r="C317" s="294" t="s">
        <v>2288</v>
      </c>
      <c r="D317" s="295" t="s">
        <v>2288</v>
      </c>
      <c r="E317" s="293" t="s">
        <v>1088</v>
      </c>
      <c r="F317" s="293" t="s">
        <v>701</v>
      </c>
      <c r="G317" s="293" t="s">
        <v>13217</v>
      </c>
      <c r="H317" s="296" t="s">
        <v>15855</v>
      </c>
      <c r="I317" s="297" t="s">
        <v>1614</v>
      </c>
      <c r="J317" s="297" t="s">
        <v>1615</v>
      </c>
      <c r="K317" s="298" t="s">
        <v>15855</v>
      </c>
      <c r="L317" s="298" t="s">
        <v>16134</v>
      </c>
      <c r="M317" s="298" t="s">
        <v>12593</v>
      </c>
      <c r="N317" s="298" t="s">
        <v>16135</v>
      </c>
      <c r="O317" s="298" t="s">
        <v>1088</v>
      </c>
      <c r="P317" s="299" t="s">
        <v>15857</v>
      </c>
      <c r="Q317" s="300" t="s">
        <v>15855</v>
      </c>
      <c r="R317" s="182" t="str">
        <f ca="1">IF(ISERROR($V317),"",OFFSET('Smelter Look-up'!$C$4,$V317-4,0)&amp;"")</f>
        <v>Metalor Technologies S.A.</v>
      </c>
      <c r="S317" s="181" t="str">
        <f t="shared" ca="1" si="41"/>
        <v>CH</v>
      </c>
      <c r="T317" s="181" t="str">
        <f ca="1">IF(B317="","",IF(ISERROR(MATCH($J317,SorP!$B$1:$B$6226,0)),"",INDIRECT("'SorP'!$A$"&amp;MATCH($S317&amp;$J317,SorP!C:C,0))))</f>
        <v>CH-NE</v>
      </c>
      <c r="U317" s="201"/>
      <c r="V317" s="226">
        <f>IF(C317="",NA(),IF(OR(C317="Smelter not listed",C317="Smelter not yet identified"),MATCH($B317&amp;$D317,'Smelter Look-up'!$J:$J,0),MATCH($B317&amp;$C317,'Smelter Look-up'!$J:$J,0)))</f>
        <v>186</v>
      </c>
      <c r="X317" s="227">
        <f t="shared" si="42"/>
        <v>0</v>
      </c>
      <c r="AB317" s="228" t="str">
        <f t="shared" si="43"/>
        <v>GoldMetalor Technologies S.A.</v>
      </c>
    </row>
    <row r="318" spans="1:28" s="227" customFormat="1" ht="54">
      <c r="A318" s="301" t="s">
        <v>701</v>
      </c>
      <c r="B318" s="293" t="s">
        <v>1119</v>
      </c>
      <c r="C318" s="294" t="s">
        <v>2288</v>
      </c>
      <c r="D318" s="295" t="s">
        <v>2288</v>
      </c>
      <c r="E318" s="293" t="s">
        <v>1088</v>
      </c>
      <c r="F318" s="293" t="s">
        <v>701</v>
      </c>
      <c r="G318" s="293" t="s">
        <v>13217</v>
      </c>
      <c r="H318" s="296" t="s">
        <v>15855</v>
      </c>
      <c r="I318" s="297" t="s">
        <v>1614</v>
      </c>
      <c r="J318" s="297" t="s">
        <v>1615</v>
      </c>
      <c r="K318" s="298" t="s">
        <v>16136</v>
      </c>
      <c r="L318" s="298" t="s">
        <v>16137</v>
      </c>
      <c r="M318" s="298" t="s">
        <v>16138</v>
      </c>
      <c r="N318" s="298" t="s">
        <v>16110</v>
      </c>
      <c r="O318" s="298" t="s">
        <v>15901</v>
      </c>
      <c r="P318" s="299" t="s">
        <v>15857</v>
      </c>
      <c r="Q318" s="300" t="s">
        <v>15855</v>
      </c>
      <c r="R318" s="182" t="str">
        <f ca="1">IF(ISERROR($V318),"",OFFSET('Smelter Look-up'!$C$4,$V318-4,0)&amp;"")</f>
        <v>Metalor Technologies S.A.</v>
      </c>
      <c r="S318" s="181" t="str">
        <f t="shared" ca="1" si="41"/>
        <v>CH</v>
      </c>
      <c r="T318" s="181" t="str">
        <f ca="1">IF(B318="","",IF(ISERROR(MATCH($J318,SorP!$B$1:$B$6226,0)),"",INDIRECT("'SorP'!$A$"&amp;MATCH($S318&amp;$J318,SorP!C:C,0))))</f>
        <v>CH-NE</v>
      </c>
      <c r="U318" s="201"/>
      <c r="V318" s="226">
        <f>IF(C318="",NA(),IF(OR(C318="Smelter not listed",C318="Smelter not yet identified"),MATCH($B318&amp;$D318,'Smelter Look-up'!$J:$J,0),MATCH($B318&amp;$C318,'Smelter Look-up'!$J:$J,0)))</f>
        <v>186</v>
      </c>
      <c r="X318" s="227">
        <f t="shared" si="42"/>
        <v>0</v>
      </c>
      <c r="AB318" s="228" t="str">
        <f t="shared" si="43"/>
        <v>GoldMetalor Technologies S.A.</v>
      </c>
    </row>
    <row r="319" spans="1:28" s="227" customFormat="1" ht="54">
      <c r="A319" s="301" t="s">
        <v>701</v>
      </c>
      <c r="B319" s="293" t="s">
        <v>1119</v>
      </c>
      <c r="C319" s="294" t="s">
        <v>2288</v>
      </c>
      <c r="D319" s="295" t="s">
        <v>2288</v>
      </c>
      <c r="E319" s="293" t="s">
        <v>1088</v>
      </c>
      <c r="F319" s="293" t="s">
        <v>701</v>
      </c>
      <c r="G319" s="293" t="s">
        <v>13217</v>
      </c>
      <c r="H319" s="302" t="s">
        <v>15880</v>
      </c>
      <c r="I319" s="297" t="s">
        <v>1614</v>
      </c>
      <c r="J319" s="297" t="s">
        <v>1615</v>
      </c>
      <c r="K319" s="298" t="s">
        <v>15855</v>
      </c>
      <c r="L319" s="298" t="s">
        <v>15855</v>
      </c>
      <c r="M319" s="298" t="s">
        <v>15855</v>
      </c>
      <c r="N319" s="298" t="s">
        <v>15855</v>
      </c>
      <c r="O319" s="298" t="s">
        <v>15855</v>
      </c>
      <c r="P319" s="299" t="s">
        <v>15857</v>
      </c>
      <c r="Q319" s="300" t="s">
        <v>15855</v>
      </c>
      <c r="R319" s="182" t="str">
        <f ca="1">IF(ISERROR($V319),"",OFFSET('Smelter Look-up'!$C$4,$V319-4,0)&amp;"")</f>
        <v>Metalor Technologies S.A.</v>
      </c>
      <c r="S319" s="181" t="str">
        <f t="shared" ca="1" si="41"/>
        <v>CH</v>
      </c>
      <c r="T319" s="181" t="str">
        <f ca="1">IF(B319="","",IF(ISERROR(MATCH($J319,SorP!$B$1:$B$6226,0)),"",INDIRECT("'SorP'!$A$"&amp;MATCH($S319&amp;$J319,SorP!C:C,0))))</f>
        <v>CH-NE</v>
      </c>
      <c r="U319" s="201"/>
      <c r="V319" s="226">
        <f>IF(C319="",NA(),IF(OR(C319="Smelter not listed",C319="Smelter not yet identified"),MATCH($B319&amp;$D319,'Smelter Look-up'!$J:$J,0),MATCH($B319&amp;$C319,'Smelter Look-up'!$J:$J,0)))</f>
        <v>186</v>
      </c>
      <c r="X319" s="227">
        <f t="shared" si="42"/>
        <v>0</v>
      </c>
      <c r="AB319" s="228" t="str">
        <f t="shared" si="43"/>
        <v>GoldMetalor Technologies S.A.</v>
      </c>
    </row>
    <row r="320" spans="1:28" s="227" customFormat="1" ht="54">
      <c r="A320" s="301" t="s">
        <v>701</v>
      </c>
      <c r="B320" s="293" t="s">
        <v>1119</v>
      </c>
      <c r="C320" s="294" t="s">
        <v>2288</v>
      </c>
      <c r="D320" s="295" t="s">
        <v>2288</v>
      </c>
      <c r="E320" s="293" t="s">
        <v>1088</v>
      </c>
      <c r="F320" s="293" t="s">
        <v>701</v>
      </c>
      <c r="G320" s="293" t="s">
        <v>13217</v>
      </c>
      <c r="H320" s="296" t="s">
        <v>1614</v>
      </c>
      <c r="I320" s="297" t="s">
        <v>1614</v>
      </c>
      <c r="J320" s="297" t="s">
        <v>1615</v>
      </c>
      <c r="K320" s="298" t="s">
        <v>16139</v>
      </c>
      <c r="L320" s="298" t="s">
        <v>16140</v>
      </c>
      <c r="M320" s="298" t="s">
        <v>12438</v>
      </c>
      <c r="N320" s="298" t="s">
        <v>2288</v>
      </c>
      <c r="O320" s="298" t="s">
        <v>1088</v>
      </c>
      <c r="P320" s="299" t="s">
        <v>15857</v>
      </c>
      <c r="Q320" s="300" t="s">
        <v>15855</v>
      </c>
      <c r="R320" s="182" t="str">
        <f ca="1">IF(ISERROR($V320),"",OFFSET('Smelter Look-up'!$C$4,$V320-4,0)&amp;"")</f>
        <v>Metalor Technologies S.A.</v>
      </c>
      <c r="S320" s="181" t="str">
        <f t="shared" ca="1" si="41"/>
        <v>CH</v>
      </c>
      <c r="T320" s="181" t="str">
        <f ca="1">IF(B320="","",IF(ISERROR(MATCH($J320,SorP!$B$1:$B$6226,0)),"",INDIRECT("'SorP'!$A$"&amp;MATCH($S320&amp;$J320,SorP!C:C,0))))</f>
        <v>CH-NE</v>
      </c>
      <c r="U320" s="201"/>
      <c r="V320" s="226">
        <f>IF(C320="",NA(),IF(OR(C320="Smelter not listed",C320="Smelter not yet identified"),MATCH($B320&amp;$D320,'Smelter Look-up'!$J:$J,0),MATCH($B320&amp;$C320,'Smelter Look-up'!$J:$J,0)))</f>
        <v>186</v>
      </c>
      <c r="X320" s="227">
        <f t="shared" si="42"/>
        <v>0</v>
      </c>
      <c r="AB320" s="228" t="str">
        <f t="shared" si="43"/>
        <v>GoldMetalor Technologies S.A.</v>
      </c>
    </row>
    <row r="321" spans="1:28" s="227" customFormat="1" ht="54">
      <c r="A321" s="301" t="s">
        <v>701</v>
      </c>
      <c r="B321" s="293" t="s">
        <v>1119</v>
      </c>
      <c r="C321" s="294" t="s">
        <v>2288</v>
      </c>
      <c r="D321" s="295" t="s">
        <v>2288</v>
      </c>
      <c r="E321" s="293" t="s">
        <v>1088</v>
      </c>
      <c r="F321" s="293" t="s">
        <v>701</v>
      </c>
      <c r="G321" s="293" t="s">
        <v>13217</v>
      </c>
      <c r="H321" s="296" t="s">
        <v>16141</v>
      </c>
      <c r="I321" s="297" t="s">
        <v>1614</v>
      </c>
      <c r="J321" s="297" t="s">
        <v>1615</v>
      </c>
      <c r="K321" s="298" t="s">
        <v>16142</v>
      </c>
      <c r="L321" s="298" t="s">
        <v>16143</v>
      </c>
      <c r="M321" s="298" t="s">
        <v>15855</v>
      </c>
      <c r="N321" s="298" t="s">
        <v>16110</v>
      </c>
      <c r="O321" s="298" t="s">
        <v>16110</v>
      </c>
      <c r="P321" s="299" t="s">
        <v>15857</v>
      </c>
      <c r="Q321" s="300" t="s">
        <v>15855</v>
      </c>
      <c r="R321" s="182" t="str">
        <f ca="1">IF(ISERROR($V321),"",OFFSET('Smelter Look-up'!$C$4,$V321-4,0)&amp;"")</f>
        <v>Metalor Technologies S.A.</v>
      </c>
      <c r="S321" s="181" t="str">
        <f t="shared" ca="1" si="41"/>
        <v>CH</v>
      </c>
      <c r="T321" s="181" t="str">
        <f ca="1">IF(B321="","",IF(ISERROR(MATCH($J321,SorP!$B$1:$B$6226,0)),"",INDIRECT("'SorP'!$A$"&amp;MATCH($S321&amp;$J321,SorP!C:C,0))))</f>
        <v>CH-NE</v>
      </c>
      <c r="U321" s="201"/>
      <c r="V321" s="226">
        <f>IF(C321="",NA(),IF(OR(C321="Smelter not listed",C321="Smelter not yet identified"),MATCH($B321&amp;$D321,'Smelter Look-up'!$J:$J,0),MATCH($B321&amp;$C321,'Smelter Look-up'!$J:$J,0)))</f>
        <v>186</v>
      </c>
      <c r="X321" s="227">
        <f t="shared" si="42"/>
        <v>0</v>
      </c>
      <c r="AB321" s="228" t="str">
        <f t="shared" si="43"/>
        <v>GoldMetalor Technologies S.A.</v>
      </c>
    </row>
    <row r="322" spans="1:28" s="227" customFormat="1" ht="54">
      <c r="A322" s="301" t="s">
        <v>701</v>
      </c>
      <c r="B322" s="293" t="s">
        <v>1119</v>
      </c>
      <c r="C322" s="294" t="s">
        <v>2288</v>
      </c>
      <c r="D322" s="295" t="s">
        <v>2288</v>
      </c>
      <c r="E322" s="293" t="s">
        <v>1088</v>
      </c>
      <c r="F322" s="293" t="s">
        <v>701</v>
      </c>
      <c r="G322" s="293" t="s">
        <v>13217</v>
      </c>
      <c r="H322" s="296" t="s">
        <v>16144</v>
      </c>
      <c r="I322" s="297" t="s">
        <v>1614</v>
      </c>
      <c r="J322" s="297" t="s">
        <v>1615</v>
      </c>
      <c r="K322" s="298" t="s">
        <v>15904</v>
      </c>
      <c r="L322" s="298" t="s">
        <v>16145</v>
      </c>
      <c r="M322" s="298" t="s">
        <v>15906</v>
      </c>
      <c r="N322" s="298" t="s">
        <v>1088</v>
      </c>
      <c r="O322" s="298" t="s">
        <v>1088</v>
      </c>
      <c r="P322" s="299" t="s">
        <v>15857</v>
      </c>
      <c r="Q322" s="300" t="s">
        <v>15855</v>
      </c>
      <c r="R322" s="182" t="str">
        <f ca="1">IF(ISERROR($V322),"",OFFSET('Smelter Look-up'!$C$4,$V322-4,0)&amp;"")</f>
        <v>Metalor Technologies S.A.</v>
      </c>
      <c r="S322" s="181" t="str">
        <f t="shared" ca="1" si="41"/>
        <v>CH</v>
      </c>
      <c r="T322" s="181" t="str">
        <f ca="1">IF(B322="","",IF(ISERROR(MATCH($J322,SorP!$B$1:$B$6226,0)),"",INDIRECT("'SorP'!$A$"&amp;MATCH($S322&amp;$J322,SorP!C:C,0))))</f>
        <v>CH-NE</v>
      </c>
      <c r="U322" s="201"/>
      <c r="V322" s="226">
        <f>IF(C322="",NA(),IF(OR(C322="Smelter not listed",C322="Smelter not yet identified"),MATCH($B322&amp;$D322,'Smelter Look-up'!$J:$J,0),MATCH($B322&amp;$C322,'Smelter Look-up'!$J:$J,0)))</f>
        <v>186</v>
      </c>
      <c r="X322" s="227">
        <f t="shared" si="42"/>
        <v>0</v>
      </c>
      <c r="AB322" s="228" t="str">
        <f t="shared" si="43"/>
        <v>GoldMetalor Technologies S.A.</v>
      </c>
    </row>
    <row r="323" spans="1:28" s="227" customFormat="1" ht="67.5">
      <c r="A323" s="301" t="s">
        <v>702</v>
      </c>
      <c r="B323" s="293" t="s">
        <v>1119</v>
      </c>
      <c r="C323" s="294" t="s">
        <v>1217</v>
      </c>
      <c r="D323" s="295" t="s">
        <v>1217</v>
      </c>
      <c r="E323" s="293" t="s">
        <v>2415</v>
      </c>
      <c r="F323" s="293" t="s">
        <v>702</v>
      </c>
      <c r="G323" s="293" t="s">
        <v>15864</v>
      </c>
      <c r="H323" s="302" t="s">
        <v>15880</v>
      </c>
      <c r="I323" s="297" t="s">
        <v>1616</v>
      </c>
      <c r="J323" s="297" t="s">
        <v>1617</v>
      </c>
      <c r="K323" s="298" t="s">
        <v>15855</v>
      </c>
      <c r="L323" s="298" t="s">
        <v>15855</v>
      </c>
      <c r="M323" s="298" t="s">
        <v>15855</v>
      </c>
      <c r="N323" s="298" t="s">
        <v>15855</v>
      </c>
      <c r="O323" s="298" t="s">
        <v>15855</v>
      </c>
      <c r="P323" s="299" t="s">
        <v>15857</v>
      </c>
      <c r="Q323" s="300" t="s">
        <v>15855</v>
      </c>
      <c r="R323" s="182" t="str">
        <f ca="1">IF(ISERROR($V323),"",OFFSET('Smelter Look-up'!$C$4,$V323-4,0)&amp;"")</f>
        <v>Metalor USA Refining Corporation</v>
      </c>
      <c r="S323" s="181" t="str">
        <f t="shared" ca="1" si="41"/>
        <v>US</v>
      </c>
      <c r="T323" s="181" t="str">
        <f ca="1">IF(B323="","",IF(ISERROR(MATCH($J323,SorP!$B$1:$B$6226,0)),"",INDIRECT("'SorP'!$A$"&amp;MATCH($S323&amp;$J323,SorP!C:C,0))))</f>
        <v>US-MA</v>
      </c>
      <c r="U323" s="201"/>
      <c r="V323" s="226">
        <f>IF(C323="",NA(),IF(OR(C323="Smelter not listed",C323="Smelter not yet identified"),MATCH($B323&amp;$D323,'Smelter Look-up'!$J:$J,0),MATCH($B323&amp;$C323,'Smelter Look-up'!$J:$J,0)))</f>
        <v>187</v>
      </c>
      <c r="X323" s="227">
        <f t="shared" si="42"/>
        <v>0</v>
      </c>
      <c r="AB323" s="228" t="str">
        <f t="shared" si="43"/>
        <v>GoldMetalor USA Refining Corporation</v>
      </c>
    </row>
    <row r="324" spans="1:28" s="227" customFormat="1" ht="67.5">
      <c r="A324" s="301" t="s">
        <v>702</v>
      </c>
      <c r="B324" s="293" t="s">
        <v>1119</v>
      </c>
      <c r="C324" s="294" t="s">
        <v>1217</v>
      </c>
      <c r="D324" s="295" t="s">
        <v>1217</v>
      </c>
      <c r="E324" s="293" t="s">
        <v>2415</v>
      </c>
      <c r="F324" s="293" t="s">
        <v>702</v>
      </c>
      <c r="G324" s="293" t="s">
        <v>13217</v>
      </c>
      <c r="H324" s="296" t="s">
        <v>15855</v>
      </c>
      <c r="I324" s="297" t="s">
        <v>1616</v>
      </c>
      <c r="J324" s="297" t="s">
        <v>1617</v>
      </c>
      <c r="K324" s="298" t="s">
        <v>15855</v>
      </c>
      <c r="L324" s="298" t="s">
        <v>15855</v>
      </c>
      <c r="M324" s="298" t="s">
        <v>15855</v>
      </c>
      <c r="N324" s="298" t="s">
        <v>15855</v>
      </c>
      <c r="O324" s="298" t="s">
        <v>15855</v>
      </c>
      <c r="P324" s="299" t="s">
        <v>15857</v>
      </c>
      <c r="Q324" s="300" t="s">
        <v>15855</v>
      </c>
      <c r="R324" s="182" t="str">
        <f ca="1">IF(ISERROR($V324),"",OFFSET('Smelter Look-up'!$C$4,$V324-4,0)&amp;"")</f>
        <v>Metalor USA Refining Corporation</v>
      </c>
      <c r="S324" s="181" t="str">
        <f t="shared" ca="1" si="41"/>
        <v>US</v>
      </c>
      <c r="T324" s="181" t="str">
        <f ca="1">IF(B324="","",IF(ISERROR(MATCH($J324,SorP!$B$1:$B$6226,0)),"",INDIRECT("'SorP'!$A$"&amp;MATCH($S324&amp;$J324,SorP!C:C,0))))</f>
        <v>US-MA</v>
      </c>
      <c r="U324" s="201"/>
      <c r="V324" s="226">
        <f>IF(C324="",NA(),IF(OR(C324="Smelter not listed",C324="Smelter not yet identified"),MATCH($B324&amp;$D324,'Smelter Look-up'!$J:$J,0),MATCH($B324&amp;$C324,'Smelter Look-up'!$J:$J,0)))</f>
        <v>187</v>
      </c>
      <c r="X324" s="227">
        <f t="shared" si="42"/>
        <v>0</v>
      </c>
      <c r="AB324" s="228" t="str">
        <f t="shared" si="43"/>
        <v>GoldMetalor USA Refining Corporation</v>
      </c>
    </row>
    <row r="325" spans="1:28" s="227" customFormat="1" ht="67.5">
      <c r="A325" s="301" t="s">
        <v>702</v>
      </c>
      <c r="B325" s="293" t="s">
        <v>1119</v>
      </c>
      <c r="C325" s="294" t="s">
        <v>1217</v>
      </c>
      <c r="D325" s="295" t="s">
        <v>1217</v>
      </c>
      <c r="E325" s="293" t="s">
        <v>2415</v>
      </c>
      <c r="F325" s="293" t="s">
        <v>702</v>
      </c>
      <c r="G325" s="293" t="s">
        <v>13217</v>
      </c>
      <c r="H325" s="296" t="s">
        <v>15855</v>
      </c>
      <c r="I325" s="297" t="s">
        <v>1616</v>
      </c>
      <c r="J325" s="297" t="s">
        <v>1617</v>
      </c>
      <c r="K325" s="298" t="s">
        <v>15855</v>
      </c>
      <c r="L325" s="298" t="s">
        <v>15855</v>
      </c>
      <c r="M325" s="298" t="s">
        <v>15855</v>
      </c>
      <c r="N325" s="298" t="s">
        <v>15855</v>
      </c>
      <c r="O325" s="298" t="s">
        <v>16110</v>
      </c>
      <c r="P325" s="299" t="s">
        <v>15857</v>
      </c>
      <c r="Q325" s="300" t="s">
        <v>15855</v>
      </c>
      <c r="R325" s="182" t="str">
        <f ca="1">IF(ISERROR($V325),"",OFFSET('Smelter Look-up'!$C$4,$V325-4,0)&amp;"")</f>
        <v>Metalor USA Refining Corporation</v>
      </c>
      <c r="S325" s="181" t="str">
        <f t="shared" ref="S325" ca="1" si="44">IF(B325="","",IF(ISERROR(MATCH($E325,CL,0)),"Unknown",INDIRECT("'C'!$A$"&amp;MATCH($E325,CL,0)+1)))</f>
        <v>US</v>
      </c>
      <c r="T325" s="181" t="str">
        <f ca="1">IF(B325="","",IF(ISERROR(MATCH($J325,SorP!$B$1:$B$6226,0)),"",INDIRECT("'SorP'!$A$"&amp;MATCH($S325&amp;$J325,SorP!C:C,0))))</f>
        <v>US-MA</v>
      </c>
      <c r="U325" s="201"/>
      <c r="V325" s="226">
        <f>IF(C325="",NA(),IF(OR(C325="Smelter not listed",C325="Smelter not yet identified"),MATCH($B325&amp;$D325,'Smelter Look-up'!$J:$J,0),MATCH($B325&amp;$C325,'Smelter Look-up'!$J:$J,0)))</f>
        <v>187</v>
      </c>
      <c r="X325" s="227">
        <f t="shared" ref="X325" si="45">IF(AND(C325="Smelter not listed",OR(LEN(D325)=0,LEN(E325)=0)),1,0)</f>
        <v>0</v>
      </c>
      <c r="AB325" s="228" t="str">
        <f t="shared" ref="AB325" si="46">B325&amp;C325</f>
        <v>GoldMetalor USA Refining Corporation</v>
      </c>
    </row>
    <row r="326" spans="1:28" s="227" customFormat="1" ht="67.5">
      <c r="A326" s="301" t="s">
        <v>702</v>
      </c>
      <c r="B326" s="293" t="s">
        <v>1119</v>
      </c>
      <c r="C326" s="294" t="s">
        <v>1217</v>
      </c>
      <c r="D326" s="295" t="s">
        <v>1217</v>
      </c>
      <c r="E326" s="293" t="s">
        <v>2415</v>
      </c>
      <c r="F326" s="293" t="s">
        <v>702</v>
      </c>
      <c r="G326" s="293" t="s">
        <v>13217</v>
      </c>
      <c r="H326" s="296" t="s">
        <v>15855</v>
      </c>
      <c r="I326" s="297" t="s">
        <v>1616</v>
      </c>
      <c r="J326" s="297" t="s">
        <v>1617</v>
      </c>
      <c r="K326" s="298" t="s">
        <v>16102</v>
      </c>
      <c r="L326" s="298" t="s">
        <v>16103</v>
      </c>
      <c r="M326" s="298" t="s">
        <v>16146</v>
      </c>
      <c r="N326" s="298" t="s">
        <v>16110</v>
      </c>
      <c r="O326" s="298" t="s">
        <v>15901</v>
      </c>
      <c r="P326" s="299" t="s">
        <v>15857</v>
      </c>
      <c r="Q326" s="300" t="s">
        <v>15855</v>
      </c>
      <c r="R326" s="182" t="str">
        <f ca="1">IF(ISERROR($V326),"",OFFSET('Smelter Look-up'!$C$4,$V326-4,0)&amp;"")</f>
        <v>Metalor USA Refining Corporation</v>
      </c>
      <c r="S326" s="181" t="str">
        <f t="shared" ref="S326:S357" ca="1" si="47">IF(B326="","",IF(ISERROR(MATCH($E326,CL,0)),"Unknown",INDIRECT("'C'!$A$"&amp;MATCH($E326,CL,0)+1)))</f>
        <v>US</v>
      </c>
      <c r="T326" s="181" t="str">
        <f ca="1">IF(B326="","",IF(ISERROR(MATCH($J326,SorP!$B$1:$B$6226,0)),"",INDIRECT("'SorP'!$A$"&amp;MATCH($S326&amp;$J326,SorP!C:C,0))))</f>
        <v>US-MA</v>
      </c>
      <c r="U326" s="201"/>
      <c r="V326" s="226">
        <f>IF(C326="",NA(),IF(OR(C326="Smelter not listed",C326="Smelter not yet identified"),MATCH($B326&amp;$D326,'Smelter Look-up'!$J:$J,0),MATCH($B326&amp;$C326,'Smelter Look-up'!$J:$J,0)))</f>
        <v>187</v>
      </c>
      <c r="X326" s="227">
        <f t="shared" ref="X326:X357" si="48">IF(AND(C326="Smelter not listed",OR(LEN(D326)=0,LEN(E326)=0)),1,0)</f>
        <v>0</v>
      </c>
      <c r="AB326" s="228" t="str">
        <f t="shared" ref="AB326:AB357" si="49">B326&amp;C326</f>
        <v>GoldMetalor USA Refining Corporation</v>
      </c>
    </row>
    <row r="327" spans="1:28" s="227" customFormat="1" ht="67.5">
      <c r="A327" s="301" t="s">
        <v>702</v>
      </c>
      <c r="B327" s="293" t="s">
        <v>1119</v>
      </c>
      <c r="C327" s="294" t="s">
        <v>1217</v>
      </c>
      <c r="D327" s="295" t="s">
        <v>1217</v>
      </c>
      <c r="E327" s="293" t="s">
        <v>2415</v>
      </c>
      <c r="F327" s="293" t="s">
        <v>702</v>
      </c>
      <c r="G327" s="293" t="s">
        <v>13217</v>
      </c>
      <c r="H327" s="302" t="s">
        <v>15880</v>
      </c>
      <c r="I327" s="297" t="s">
        <v>1616</v>
      </c>
      <c r="J327" s="297" t="s">
        <v>1617</v>
      </c>
      <c r="K327" s="298" t="s">
        <v>15855</v>
      </c>
      <c r="L327" s="298" t="s">
        <v>15855</v>
      </c>
      <c r="M327" s="298" t="s">
        <v>15855</v>
      </c>
      <c r="N327" s="298" t="s">
        <v>15855</v>
      </c>
      <c r="O327" s="298" t="s">
        <v>15855</v>
      </c>
      <c r="P327" s="299" t="s">
        <v>15857</v>
      </c>
      <c r="Q327" s="300" t="s">
        <v>15855</v>
      </c>
      <c r="R327" s="182" t="str">
        <f ca="1">IF(ISERROR($V327),"",OFFSET('Smelter Look-up'!$C$4,$V327-4,0)&amp;"")</f>
        <v>Metalor USA Refining Corporation</v>
      </c>
      <c r="S327" s="181" t="str">
        <f t="shared" ca="1" si="47"/>
        <v>US</v>
      </c>
      <c r="T327" s="181" t="str">
        <f ca="1">IF(B327="","",IF(ISERROR(MATCH($J327,SorP!$B$1:$B$6226,0)),"",INDIRECT("'SorP'!$A$"&amp;MATCH($S327&amp;$J327,SorP!C:C,0))))</f>
        <v>US-MA</v>
      </c>
      <c r="U327" s="201"/>
      <c r="V327" s="226">
        <f>IF(C327="",NA(),IF(OR(C327="Smelter not listed",C327="Smelter not yet identified"),MATCH($B327&amp;$D327,'Smelter Look-up'!$J:$J,0),MATCH($B327&amp;$C327,'Smelter Look-up'!$J:$J,0)))</f>
        <v>187</v>
      </c>
      <c r="X327" s="227">
        <f t="shared" si="48"/>
        <v>0</v>
      </c>
      <c r="AB327" s="228" t="str">
        <f t="shared" si="49"/>
        <v>GoldMetalor USA Refining Corporation</v>
      </c>
    </row>
    <row r="328" spans="1:28" s="227" customFormat="1" ht="67.5">
      <c r="A328" s="301" t="s">
        <v>702</v>
      </c>
      <c r="B328" s="293" t="s">
        <v>1119</v>
      </c>
      <c r="C328" s="294" t="s">
        <v>1217</v>
      </c>
      <c r="D328" s="295" t="s">
        <v>1217</v>
      </c>
      <c r="E328" s="293" t="s">
        <v>2415</v>
      </c>
      <c r="F328" s="293" t="s">
        <v>702</v>
      </c>
      <c r="G328" s="293" t="s">
        <v>13217</v>
      </c>
      <c r="H328" s="296" t="s">
        <v>16147</v>
      </c>
      <c r="I328" s="297" t="s">
        <v>1616</v>
      </c>
      <c r="J328" s="297" t="s">
        <v>1617</v>
      </c>
      <c r="K328" s="298" t="s">
        <v>16148</v>
      </c>
      <c r="L328" s="298" t="s">
        <v>16149</v>
      </c>
      <c r="M328" s="298" t="s">
        <v>15855</v>
      </c>
      <c r="N328" s="298" t="s">
        <v>16110</v>
      </c>
      <c r="O328" s="298" t="s">
        <v>16110</v>
      </c>
      <c r="P328" s="299" t="s">
        <v>15857</v>
      </c>
      <c r="Q328" s="300" t="s">
        <v>15855</v>
      </c>
      <c r="R328" s="182" t="str">
        <f ca="1">IF(ISERROR($V328),"",OFFSET('Smelter Look-up'!$C$4,$V328-4,0)&amp;"")</f>
        <v>Metalor USA Refining Corporation</v>
      </c>
      <c r="S328" s="181" t="str">
        <f t="shared" ca="1" si="47"/>
        <v>US</v>
      </c>
      <c r="T328" s="181" t="str">
        <f ca="1">IF(B328="","",IF(ISERROR(MATCH($J328,SorP!$B$1:$B$6226,0)),"",INDIRECT("'SorP'!$A$"&amp;MATCH($S328&amp;$J328,SorP!C:C,0))))</f>
        <v>US-MA</v>
      </c>
      <c r="U328" s="201"/>
      <c r="V328" s="226">
        <f>IF(C328="",NA(),IF(OR(C328="Smelter not listed",C328="Smelter not yet identified"),MATCH($B328&amp;$D328,'Smelter Look-up'!$J:$J,0),MATCH($B328&amp;$C328,'Smelter Look-up'!$J:$J,0)))</f>
        <v>187</v>
      </c>
      <c r="X328" s="227">
        <f t="shared" si="48"/>
        <v>0</v>
      </c>
      <c r="AB328" s="228" t="str">
        <f t="shared" si="49"/>
        <v>GoldMetalor USA Refining Corporation</v>
      </c>
    </row>
    <row r="329" spans="1:28" s="227" customFormat="1" ht="81">
      <c r="A329" s="301" t="s">
        <v>703</v>
      </c>
      <c r="B329" s="293" t="s">
        <v>1119</v>
      </c>
      <c r="C329" s="294" t="s">
        <v>12407</v>
      </c>
      <c r="D329" s="295" t="s">
        <v>12407</v>
      </c>
      <c r="E329" s="293" t="s">
        <v>1103</v>
      </c>
      <c r="F329" s="293" t="s">
        <v>703</v>
      </c>
      <c r="G329" s="293" t="s">
        <v>13217</v>
      </c>
      <c r="H329" s="296" t="s">
        <v>15855</v>
      </c>
      <c r="I329" s="297" t="s">
        <v>1618</v>
      </c>
      <c r="J329" s="297" t="s">
        <v>12863</v>
      </c>
      <c r="K329" s="298" t="s">
        <v>15855</v>
      </c>
      <c r="L329" s="298" t="s">
        <v>15855</v>
      </c>
      <c r="M329" s="298" t="s">
        <v>15855</v>
      </c>
      <c r="N329" s="298" t="s">
        <v>15855</v>
      </c>
      <c r="O329" s="298" t="s">
        <v>15855</v>
      </c>
      <c r="P329" s="299" t="s">
        <v>15857</v>
      </c>
      <c r="Q329" s="300" t="s">
        <v>15855</v>
      </c>
      <c r="R329" s="182" t="str">
        <f ca="1">IF(ISERROR($V329),"",OFFSET('Smelter Look-up'!$C$4,$V329-4,0)&amp;"")</f>
        <v>Metalurgica Met-Mex Penoles S.A. De C.V.</v>
      </c>
      <c r="S329" s="181" t="str">
        <f t="shared" ca="1" si="47"/>
        <v>MX</v>
      </c>
      <c r="T329" s="181" t="str">
        <f ca="1">IF(B329="","",IF(ISERROR(MATCH($J329,SorP!$B$1:$B$6226,0)),"",INDIRECT("'SorP'!$A$"&amp;MATCH($S329&amp;$J329,SorP!C:C,0))))</f>
        <v>MX-COA</v>
      </c>
      <c r="U329" s="201"/>
      <c r="V329" s="226">
        <f>IF(C329="",NA(),IF(OR(C329="Smelter not listed",C329="Smelter not yet identified"),MATCH($B329&amp;$D329,'Smelter Look-up'!$J:$J,0),MATCH($B329&amp;$C329,'Smelter Look-up'!$J:$J,0)))</f>
        <v>188</v>
      </c>
      <c r="X329" s="227">
        <f t="shared" si="48"/>
        <v>0</v>
      </c>
      <c r="AB329" s="228" t="str">
        <f t="shared" si="49"/>
        <v>GoldMetalurgica Met-Mex Penoles S.A. De C.V.</v>
      </c>
    </row>
    <row r="330" spans="1:28" s="227" customFormat="1" ht="81">
      <c r="A330" s="301" t="s">
        <v>703</v>
      </c>
      <c r="B330" s="293" t="s">
        <v>1119</v>
      </c>
      <c r="C330" s="294" t="s">
        <v>12407</v>
      </c>
      <c r="D330" s="295" t="s">
        <v>12407</v>
      </c>
      <c r="E330" s="293" t="s">
        <v>1103</v>
      </c>
      <c r="F330" s="293" t="s">
        <v>703</v>
      </c>
      <c r="G330" s="293" t="s">
        <v>13217</v>
      </c>
      <c r="H330" s="296" t="s">
        <v>15855</v>
      </c>
      <c r="I330" s="297" t="s">
        <v>1618</v>
      </c>
      <c r="J330" s="297" t="s">
        <v>12863</v>
      </c>
      <c r="K330" s="298" t="s">
        <v>15855</v>
      </c>
      <c r="L330" s="298" t="s">
        <v>15855</v>
      </c>
      <c r="M330" s="298" t="s">
        <v>15855</v>
      </c>
      <c r="N330" s="298" t="s">
        <v>15855</v>
      </c>
      <c r="O330" s="298" t="s">
        <v>15858</v>
      </c>
      <c r="P330" s="299" t="s">
        <v>15857</v>
      </c>
      <c r="Q330" s="300" t="s">
        <v>15855</v>
      </c>
      <c r="R330" s="182" t="str">
        <f ca="1">IF(ISERROR($V330),"",OFFSET('Smelter Look-up'!$C$4,$V330-4,0)&amp;"")</f>
        <v>Metalurgica Met-Mex Penoles S.A. De C.V.</v>
      </c>
      <c r="S330" s="181" t="str">
        <f t="shared" ca="1" si="47"/>
        <v>MX</v>
      </c>
      <c r="T330" s="181" t="str">
        <f ca="1">IF(B330="","",IF(ISERROR(MATCH($J330,SorP!$B$1:$B$6226,0)),"",INDIRECT("'SorP'!$A$"&amp;MATCH($S330&amp;$J330,SorP!C:C,0))))</f>
        <v>MX-COA</v>
      </c>
      <c r="U330" s="201"/>
      <c r="V330" s="226">
        <f>IF(C330="",NA(),IF(OR(C330="Smelter not listed",C330="Smelter not yet identified"),MATCH($B330&amp;$D330,'Smelter Look-up'!$J:$J,0),MATCH($B330&amp;$C330,'Smelter Look-up'!$J:$J,0)))</f>
        <v>188</v>
      </c>
      <c r="X330" s="227">
        <f t="shared" si="48"/>
        <v>0</v>
      </c>
      <c r="AB330" s="228" t="str">
        <f t="shared" si="49"/>
        <v>GoldMetalurgica Met-Mex Penoles S.A. De C.V.</v>
      </c>
    </row>
    <row r="331" spans="1:28" s="227" customFormat="1" ht="81">
      <c r="A331" s="301" t="s">
        <v>703</v>
      </c>
      <c r="B331" s="293" t="s">
        <v>1119</v>
      </c>
      <c r="C331" s="294" t="s">
        <v>12407</v>
      </c>
      <c r="D331" s="295" t="s">
        <v>12407</v>
      </c>
      <c r="E331" s="293" t="s">
        <v>1103</v>
      </c>
      <c r="F331" s="293" t="s">
        <v>703</v>
      </c>
      <c r="G331" s="293" t="s">
        <v>13217</v>
      </c>
      <c r="H331" s="296" t="s">
        <v>15855</v>
      </c>
      <c r="I331" s="297" t="s">
        <v>1618</v>
      </c>
      <c r="J331" s="297" t="s">
        <v>12863</v>
      </c>
      <c r="K331" s="298" t="s">
        <v>16150</v>
      </c>
      <c r="L331" s="298" t="s">
        <v>16151</v>
      </c>
      <c r="M331" s="298" t="s">
        <v>15892</v>
      </c>
      <c r="N331" s="298" t="s">
        <v>15862</v>
      </c>
      <c r="O331" s="298" t="s">
        <v>15893</v>
      </c>
      <c r="P331" s="299" t="s">
        <v>15857</v>
      </c>
      <c r="Q331" s="300" t="s">
        <v>15855</v>
      </c>
      <c r="R331" s="182" t="str">
        <f ca="1">IF(ISERROR($V331),"",OFFSET('Smelter Look-up'!$C$4,$V331-4,0)&amp;"")</f>
        <v>Metalurgica Met-Mex Penoles S.A. De C.V.</v>
      </c>
      <c r="S331" s="181" t="str">
        <f t="shared" ca="1" si="47"/>
        <v>MX</v>
      </c>
      <c r="T331" s="181" t="str">
        <f ca="1">IF(B331="","",IF(ISERROR(MATCH($J331,SorP!$B$1:$B$6226,0)),"",INDIRECT("'SorP'!$A$"&amp;MATCH($S331&amp;$J331,SorP!C:C,0))))</f>
        <v>MX-COA</v>
      </c>
      <c r="U331" s="201"/>
      <c r="V331" s="226">
        <f>IF(C331="",NA(),IF(OR(C331="Smelter not listed",C331="Smelter not yet identified"),MATCH($B331&amp;$D331,'Smelter Look-up'!$J:$J,0),MATCH($B331&amp;$C331,'Smelter Look-up'!$J:$J,0)))</f>
        <v>188</v>
      </c>
      <c r="X331" s="227">
        <f t="shared" si="48"/>
        <v>0</v>
      </c>
      <c r="AB331" s="228" t="str">
        <f t="shared" si="49"/>
        <v>GoldMetalurgica Met-Mex Penoles S.A. De C.V.</v>
      </c>
    </row>
    <row r="332" spans="1:28" s="227" customFormat="1" ht="67.5">
      <c r="A332" s="301" t="s">
        <v>704</v>
      </c>
      <c r="B332" s="293" t="s">
        <v>1119</v>
      </c>
      <c r="C332" s="294" t="s">
        <v>1153</v>
      </c>
      <c r="D332" s="295" t="s">
        <v>1153</v>
      </c>
      <c r="E332" s="293" t="s">
        <v>1098</v>
      </c>
      <c r="F332" s="293" t="s">
        <v>704</v>
      </c>
      <c r="G332" s="293" t="s">
        <v>13217</v>
      </c>
      <c r="H332" s="296" t="s">
        <v>15855</v>
      </c>
      <c r="I332" s="297" t="s">
        <v>16152</v>
      </c>
      <c r="J332" s="297" t="s">
        <v>2195</v>
      </c>
      <c r="K332" s="298" t="s">
        <v>15855</v>
      </c>
      <c r="L332" s="298" t="s">
        <v>15855</v>
      </c>
      <c r="M332" s="298" t="s">
        <v>15855</v>
      </c>
      <c r="N332" s="298" t="s">
        <v>15855</v>
      </c>
      <c r="O332" s="298" t="s">
        <v>15855</v>
      </c>
      <c r="P332" s="299" t="s">
        <v>15857</v>
      </c>
      <c r="Q332" s="300" t="s">
        <v>15855</v>
      </c>
      <c r="R332" s="182" t="str">
        <f ca="1">IF(ISERROR($V332),"",OFFSET('Smelter Look-up'!$C$4,$V332-4,0)&amp;"")</f>
        <v>Mitsubishi Materials Corporation</v>
      </c>
      <c r="S332" s="181" t="str">
        <f t="shared" ca="1" si="47"/>
        <v>JP</v>
      </c>
      <c r="T332" s="181" t="str">
        <f ca="1">IF(B332="","",IF(ISERROR(MATCH($J332,SorP!$B$1:$B$6226,0)),"",INDIRECT("'SorP'!$A$"&amp;MATCH($S332&amp;$J332,SorP!C:C,0))))</f>
        <v>JP-37</v>
      </c>
      <c r="U332" s="201"/>
      <c r="V332" s="226">
        <f>IF(C332="",NA(),IF(OR(C332="Smelter not listed",C332="Smelter not yet identified"),MATCH($B332&amp;$D332,'Smelter Look-up'!$J:$J,0),MATCH($B332&amp;$C332,'Smelter Look-up'!$J:$J,0)))</f>
        <v>192</v>
      </c>
      <c r="X332" s="227">
        <f t="shared" si="48"/>
        <v>0</v>
      </c>
      <c r="AB332" s="228" t="str">
        <f t="shared" si="49"/>
        <v>GoldMitsubishi Materials Corporation</v>
      </c>
    </row>
    <row r="333" spans="1:28" s="227" customFormat="1" ht="67.5">
      <c r="A333" s="301" t="s">
        <v>704</v>
      </c>
      <c r="B333" s="293" t="s">
        <v>1119</v>
      </c>
      <c r="C333" s="294" t="s">
        <v>1153</v>
      </c>
      <c r="D333" s="295" t="s">
        <v>1153</v>
      </c>
      <c r="E333" s="293" t="s">
        <v>1098</v>
      </c>
      <c r="F333" s="293" t="s">
        <v>704</v>
      </c>
      <c r="G333" s="293" t="s">
        <v>13217</v>
      </c>
      <c r="H333" s="296" t="s">
        <v>15855</v>
      </c>
      <c r="I333" s="297" t="s">
        <v>1534</v>
      </c>
      <c r="J333" s="297" t="s">
        <v>1534</v>
      </c>
      <c r="K333" s="298" t="s">
        <v>15855</v>
      </c>
      <c r="L333" s="298" t="s">
        <v>15855</v>
      </c>
      <c r="M333" s="298" t="s">
        <v>15855</v>
      </c>
      <c r="N333" s="298" t="s">
        <v>15855</v>
      </c>
      <c r="O333" s="298" t="s">
        <v>15855</v>
      </c>
      <c r="P333" s="299" t="s">
        <v>15857</v>
      </c>
      <c r="Q333" s="300" t="s">
        <v>15855</v>
      </c>
      <c r="R333" s="182" t="str">
        <f ca="1">IF(ISERROR($V333),"",OFFSET('Smelter Look-up'!$C$4,$V333-4,0)&amp;"")</f>
        <v>Mitsubishi Materials Corporation</v>
      </c>
      <c r="S333" s="181" t="str">
        <f t="shared" ca="1" si="47"/>
        <v>JP</v>
      </c>
      <c r="T333" s="181" t="str">
        <f ca="1">IF(B333="","",IF(ISERROR(MATCH($J333,SorP!$B$1:$B$6226,0)),"",INDIRECT("'SorP'!$A$"&amp;MATCH($S333&amp;$J333,SorP!C:C,0))))</f>
        <v>JP-13</v>
      </c>
      <c r="U333" s="201"/>
      <c r="V333" s="226">
        <f>IF(C333="",NA(),IF(OR(C333="Smelter not listed",C333="Smelter not yet identified"),MATCH($B333&amp;$D333,'Smelter Look-up'!$J:$J,0),MATCH($B333&amp;$C333,'Smelter Look-up'!$J:$J,0)))</f>
        <v>192</v>
      </c>
      <c r="X333" s="227">
        <f t="shared" si="48"/>
        <v>0</v>
      </c>
      <c r="AB333" s="228" t="str">
        <f t="shared" si="49"/>
        <v>GoldMitsubishi Materials Corporation</v>
      </c>
    </row>
    <row r="334" spans="1:28" s="227" customFormat="1" ht="67.5">
      <c r="A334" s="301" t="s">
        <v>704</v>
      </c>
      <c r="B334" s="293" t="s">
        <v>1119</v>
      </c>
      <c r="C334" s="294" t="s">
        <v>1153</v>
      </c>
      <c r="D334" s="295" t="s">
        <v>1153</v>
      </c>
      <c r="E334" s="293" t="s">
        <v>1098</v>
      </c>
      <c r="F334" s="293" t="s">
        <v>704</v>
      </c>
      <c r="G334" s="293" t="s">
        <v>13217</v>
      </c>
      <c r="H334" s="296" t="s">
        <v>15855</v>
      </c>
      <c r="I334" s="297" t="s">
        <v>1534</v>
      </c>
      <c r="J334" s="297" t="s">
        <v>1534</v>
      </c>
      <c r="K334" s="298" t="s">
        <v>15855</v>
      </c>
      <c r="L334" s="298" t="s">
        <v>15855</v>
      </c>
      <c r="M334" s="298" t="s">
        <v>15855</v>
      </c>
      <c r="N334" s="298" t="s">
        <v>15855</v>
      </c>
      <c r="O334" s="298" t="s">
        <v>15855</v>
      </c>
      <c r="P334" s="299" t="s">
        <v>15875</v>
      </c>
      <c r="Q334" s="300" t="s">
        <v>15855</v>
      </c>
      <c r="R334" s="182" t="str">
        <f ca="1">IF(ISERROR($V334),"",OFFSET('Smelter Look-up'!$C$4,$V334-4,0)&amp;"")</f>
        <v>Mitsubishi Materials Corporation</v>
      </c>
      <c r="S334" s="181" t="str">
        <f t="shared" ca="1" si="47"/>
        <v>JP</v>
      </c>
      <c r="T334" s="181" t="str">
        <f ca="1">IF(B334="","",IF(ISERROR(MATCH($J334,SorP!$B$1:$B$6226,0)),"",INDIRECT("'SorP'!$A$"&amp;MATCH($S334&amp;$J334,SorP!C:C,0))))</f>
        <v>JP-13</v>
      </c>
      <c r="U334" s="201"/>
      <c r="V334" s="226">
        <f>IF(C334="",NA(),IF(OR(C334="Smelter not listed",C334="Smelter not yet identified"),MATCH($B334&amp;$D334,'Smelter Look-up'!$J:$J,0),MATCH($B334&amp;$C334,'Smelter Look-up'!$J:$J,0)))</f>
        <v>192</v>
      </c>
      <c r="X334" s="227">
        <f t="shared" si="48"/>
        <v>0</v>
      </c>
      <c r="AB334" s="228" t="str">
        <f t="shared" si="49"/>
        <v>GoldMitsubishi Materials Corporation</v>
      </c>
    </row>
    <row r="335" spans="1:28" s="227" customFormat="1" ht="67.5">
      <c r="A335" s="301" t="s">
        <v>704</v>
      </c>
      <c r="B335" s="293" t="s">
        <v>1119</v>
      </c>
      <c r="C335" s="294" t="s">
        <v>1153</v>
      </c>
      <c r="D335" s="295" t="s">
        <v>1153</v>
      </c>
      <c r="E335" s="293" t="s">
        <v>1098</v>
      </c>
      <c r="F335" s="293" t="s">
        <v>704</v>
      </c>
      <c r="G335" s="293" t="s">
        <v>13217</v>
      </c>
      <c r="H335" s="296" t="s">
        <v>15855</v>
      </c>
      <c r="I335" s="297" t="s">
        <v>1534</v>
      </c>
      <c r="J335" s="297" t="s">
        <v>1534</v>
      </c>
      <c r="K335" s="298" t="s">
        <v>15855</v>
      </c>
      <c r="L335" s="298" t="s">
        <v>15855</v>
      </c>
      <c r="M335" s="298" t="s">
        <v>15855</v>
      </c>
      <c r="N335" s="298" t="s">
        <v>15855</v>
      </c>
      <c r="O335" s="298" t="s">
        <v>16153</v>
      </c>
      <c r="P335" s="299" t="s">
        <v>15857</v>
      </c>
      <c r="Q335" s="300" t="s">
        <v>15855</v>
      </c>
      <c r="R335" s="182" t="str">
        <f ca="1">IF(ISERROR($V335),"",OFFSET('Smelter Look-up'!$C$4,$V335-4,0)&amp;"")</f>
        <v>Mitsubishi Materials Corporation</v>
      </c>
      <c r="S335" s="181" t="str">
        <f t="shared" ca="1" si="47"/>
        <v>JP</v>
      </c>
      <c r="T335" s="181" t="str">
        <f ca="1">IF(B335="","",IF(ISERROR(MATCH($J335,SorP!$B$1:$B$6226,0)),"",INDIRECT("'SorP'!$A$"&amp;MATCH($S335&amp;$J335,SorP!C:C,0))))</f>
        <v>JP-13</v>
      </c>
      <c r="U335" s="201"/>
      <c r="V335" s="226">
        <f>IF(C335="",NA(),IF(OR(C335="Smelter not listed",C335="Smelter not yet identified"),MATCH($B335&amp;$D335,'Smelter Look-up'!$J:$J,0),MATCH($B335&amp;$C335,'Smelter Look-up'!$J:$J,0)))</f>
        <v>192</v>
      </c>
      <c r="X335" s="227">
        <f t="shared" si="48"/>
        <v>0</v>
      </c>
      <c r="AB335" s="228" t="str">
        <f t="shared" si="49"/>
        <v>GoldMitsubishi Materials Corporation</v>
      </c>
    </row>
    <row r="336" spans="1:28" s="227" customFormat="1" ht="67.5">
      <c r="A336" s="301" t="s">
        <v>704</v>
      </c>
      <c r="B336" s="293" t="s">
        <v>1119</v>
      </c>
      <c r="C336" s="294" t="s">
        <v>1153</v>
      </c>
      <c r="D336" s="295" t="s">
        <v>1153</v>
      </c>
      <c r="E336" s="293" t="s">
        <v>1098</v>
      </c>
      <c r="F336" s="293" t="s">
        <v>704</v>
      </c>
      <c r="G336" s="293" t="s">
        <v>13217</v>
      </c>
      <c r="H336" s="296" t="s">
        <v>15855</v>
      </c>
      <c r="I336" s="297" t="s">
        <v>1534</v>
      </c>
      <c r="J336" s="297" t="s">
        <v>1534</v>
      </c>
      <c r="K336" s="298" t="s">
        <v>16154</v>
      </c>
      <c r="L336" s="298" t="s">
        <v>16155</v>
      </c>
      <c r="M336" s="298" t="s">
        <v>16156</v>
      </c>
      <c r="N336" s="298" t="s">
        <v>16157</v>
      </c>
      <c r="O336" s="298" t="s">
        <v>16158</v>
      </c>
      <c r="P336" s="299" t="s">
        <v>15857</v>
      </c>
      <c r="Q336" s="300" t="s">
        <v>15855</v>
      </c>
      <c r="R336" s="182" t="str">
        <f ca="1">IF(ISERROR($V336),"",OFFSET('Smelter Look-up'!$C$4,$V336-4,0)&amp;"")</f>
        <v>Mitsubishi Materials Corporation</v>
      </c>
      <c r="S336" s="181" t="str">
        <f t="shared" ca="1" si="47"/>
        <v>JP</v>
      </c>
      <c r="T336" s="181" t="str">
        <f ca="1">IF(B336="","",IF(ISERROR(MATCH($J336,SorP!$B$1:$B$6226,0)),"",INDIRECT("'SorP'!$A$"&amp;MATCH($S336&amp;$J336,SorP!C:C,0))))</f>
        <v>JP-13</v>
      </c>
      <c r="U336" s="201"/>
      <c r="V336" s="226">
        <f>IF(C336="",NA(),IF(OR(C336="Smelter not listed",C336="Smelter not yet identified"),MATCH($B336&amp;$D336,'Smelter Look-up'!$J:$J,0),MATCH($B336&amp;$C336,'Smelter Look-up'!$J:$J,0)))</f>
        <v>192</v>
      </c>
      <c r="X336" s="227">
        <f t="shared" si="48"/>
        <v>0</v>
      </c>
      <c r="AB336" s="228" t="str">
        <f t="shared" si="49"/>
        <v>GoldMitsubishi Materials Corporation</v>
      </c>
    </row>
    <row r="337" spans="1:28" s="227" customFormat="1" ht="67.5">
      <c r="A337" s="301" t="s">
        <v>704</v>
      </c>
      <c r="B337" s="293" t="s">
        <v>1119</v>
      </c>
      <c r="C337" s="294" t="s">
        <v>1153</v>
      </c>
      <c r="D337" s="295" t="s">
        <v>1153</v>
      </c>
      <c r="E337" s="293" t="s">
        <v>1098</v>
      </c>
      <c r="F337" s="293" t="s">
        <v>704</v>
      </c>
      <c r="G337" s="293" t="s">
        <v>13217</v>
      </c>
      <c r="H337" s="302" t="s">
        <v>15880</v>
      </c>
      <c r="I337" s="297" t="s">
        <v>16152</v>
      </c>
      <c r="J337" s="297" t="s">
        <v>2195</v>
      </c>
      <c r="K337" s="298" t="s">
        <v>15855</v>
      </c>
      <c r="L337" s="298" t="s">
        <v>15855</v>
      </c>
      <c r="M337" s="298" t="s">
        <v>15855</v>
      </c>
      <c r="N337" s="298" t="s">
        <v>15855</v>
      </c>
      <c r="O337" s="298" t="s">
        <v>15855</v>
      </c>
      <c r="P337" s="299" t="s">
        <v>15857</v>
      </c>
      <c r="Q337" s="300" t="s">
        <v>15855</v>
      </c>
      <c r="R337" s="182" t="str">
        <f ca="1">IF(ISERROR($V337),"",OFFSET('Smelter Look-up'!$C$4,$V337-4,0)&amp;"")</f>
        <v>Mitsubishi Materials Corporation</v>
      </c>
      <c r="S337" s="181" t="str">
        <f t="shared" ca="1" si="47"/>
        <v>JP</v>
      </c>
      <c r="T337" s="181" t="str">
        <f ca="1">IF(B337="","",IF(ISERROR(MATCH($J337,SorP!$B$1:$B$6226,0)),"",INDIRECT("'SorP'!$A$"&amp;MATCH($S337&amp;$J337,SorP!C:C,0))))</f>
        <v>JP-37</v>
      </c>
      <c r="U337" s="201"/>
      <c r="V337" s="226">
        <f>IF(C337="",NA(),IF(OR(C337="Smelter not listed",C337="Smelter not yet identified"),MATCH($B337&amp;$D337,'Smelter Look-up'!$J:$J,0),MATCH($B337&amp;$C337,'Smelter Look-up'!$J:$J,0)))</f>
        <v>192</v>
      </c>
      <c r="X337" s="227">
        <f t="shared" si="48"/>
        <v>0</v>
      </c>
      <c r="AB337" s="228" t="str">
        <f t="shared" si="49"/>
        <v>GoldMitsubishi Materials Corporation</v>
      </c>
    </row>
    <row r="338" spans="1:28" s="227" customFormat="1" ht="67.5">
      <c r="A338" s="301" t="s">
        <v>704</v>
      </c>
      <c r="B338" s="293" t="s">
        <v>1119</v>
      </c>
      <c r="C338" s="294" t="s">
        <v>1153</v>
      </c>
      <c r="D338" s="295" t="s">
        <v>1153</v>
      </c>
      <c r="E338" s="293" t="s">
        <v>1098</v>
      </c>
      <c r="F338" s="293" t="s">
        <v>704</v>
      </c>
      <c r="G338" s="293" t="s">
        <v>13217</v>
      </c>
      <c r="H338" s="302" t="s">
        <v>15880</v>
      </c>
      <c r="I338" s="297" t="s">
        <v>1534</v>
      </c>
      <c r="J338" s="297" t="s">
        <v>1534</v>
      </c>
      <c r="K338" s="298" t="s">
        <v>15855</v>
      </c>
      <c r="L338" s="298" t="s">
        <v>15855</v>
      </c>
      <c r="M338" s="298" t="s">
        <v>15855</v>
      </c>
      <c r="N338" s="298" t="s">
        <v>15855</v>
      </c>
      <c r="O338" s="298" t="s">
        <v>15855</v>
      </c>
      <c r="P338" s="299" t="s">
        <v>15857</v>
      </c>
      <c r="Q338" s="300" t="s">
        <v>15855</v>
      </c>
      <c r="R338" s="182" t="str">
        <f ca="1">IF(ISERROR($V338),"",OFFSET('Smelter Look-up'!$C$4,$V338-4,0)&amp;"")</f>
        <v>Mitsubishi Materials Corporation</v>
      </c>
      <c r="S338" s="181" t="str">
        <f t="shared" ca="1" si="47"/>
        <v>JP</v>
      </c>
      <c r="T338" s="181" t="str">
        <f ca="1">IF(B338="","",IF(ISERROR(MATCH($J338,SorP!$B$1:$B$6226,0)),"",INDIRECT("'SorP'!$A$"&amp;MATCH($S338&amp;$J338,SorP!C:C,0))))</f>
        <v>JP-13</v>
      </c>
      <c r="U338" s="201"/>
      <c r="V338" s="226">
        <f>IF(C338="",NA(),IF(OR(C338="Smelter not listed",C338="Smelter not yet identified"),MATCH($B338&amp;$D338,'Smelter Look-up'!$J:$J,0),MATCH($B338&amp;$C338,'Smelter Look-up'!$J:$J,0)))</f>
        <v>192</v>
      </c>
      <c r="X338" s="227">
        <f t="shared" si="48"/>
        <v>0</v>
      </c>
      <c r="AB338" s="228" t="str">
        <f t="shared" si="49"/>
        <v>GoldMitsubishi Materials Corporation</v>
      </c>
    </row>
    <row r="339" spans="1:28" s="227" customFormat="1" ht="67.5">
      <c r="A339" s="301" t="s">
        <v>704</v>
      </c>
      <c r="B339" s="293" t="s">
        <v>1119</v>
      </c>
      <c r="C339" s="294" t="s">
        <v>1153</v>
      </c>
      <c r="D339" s="295" t="s">
        <v>1153</v>
      </c>
      <c r="E339" s="293" t="s">
        <v>1098</v>
      </c>
      <c r="F339" s="293" t="s">
        <v>704</v>
      </c>
      <c r="G339" s="293" t="s">
        <v>13217</v>
      </c>
      <c r="H339" s="302" t="s">
        <v>15880</v>
      </c>
      <c r="I339" s="297" t="s">
        <v>1534</v>
      </c>
      <c r="J339" s="297" t="s">
        <v>1534</v>
      </c>
      <c r="K339" s="298" t="s">
        <v>15855</v>
      </c>
      <c r="L339" s="298" t="s">
        <v>15855</v>
      </c>
      <c r="M339" s="298" t="s">
        <v>15855</v>
      </c>
      <c r="N339" s="298" t="s">
        <v>15855</v>
      </c>
      <c r="O339" s="298" t="s">
        <v>15855</v>
      </c>
      <c r="P339" s="299" t="s">
        <v>15857</v>
      </c>
      <c r="Q339" s="300" t="s">
        <v>16159</v>
      </c>
      <c r="R339" s="182" t="str">
        <f ca="1">IF(ISERROR($V339),"",OFFSET('Smelter Look-up'!$C$4,$V339-4,0)&amp;"")</f>
        <v>Mitsubishi Materials Corporation</v>
      </c>
      <c r="S339" s="181" t="str">
        <f t="shared" ca="1" si="47"/>
        <v>JP</v>
      </c>
      <c r="T339" s="181" t="str">
        <f ca="1">IF(B339="","",IF(ISERROR(MATCH($J339,SorP!$B$1:$B$6226,0)),"",INDIRECT("'SorP'!$A$"&amp;MATCH($S339&amp;$J339,SorP!C:C,0))))</f>
        <v>JP-13</v>
      </c>
      <c r="U339" s="201"/>
      <c r="V339" s="226">
        <f>IF(C339="",NA(),IF(OR(C339="Smelter not listed",C339="Smelter not yet identified"),MATCH($B339&amp;$D339,'Smelter Look-up'!$J:$J,0),MATCH($B339&amp;$C339,'Smelter Look-up'!$J:$J,0)))</f>
        <v>192</v>
      </c>
      <c r="X339" s="227">
        <f t="shared" si="48"/>
        <v>0</v>
      </c>
      <c r="AB339" s="228" t="str">
        <f t="shared" si="49"/>
        <v>GoldMitsubishi Materials Corporation</v>
      </c>
    </row>
    <row r="340" spans="1:28" s="227" customFormat="1" ht="67.5">
      <c r="A340" s="301" t="s">
        <v>704</v>
      </c>
      <c r="B340" s="293" t="s">
        <v>1119</v>
      </c>
      <c r="C340" s="294" t="s">
        <v>1153</v>
      </c>
      <c r="D340" s="295" t="s">
        <v>1153</v>
      </c>
      <c r="E340" s="293" t="s">
        <v>1098</v>
      </c>
      <c r="F340" s="293" t="s">
        <v>704</v>
      </c>
      <c r="G340" s="293" t="s">
        <v>13217</v>
      </c>
      <c r="H340" s="302" t="s">
        <v>15880</v>
      </c>
      <c r="I340" s="297" t="s">
        <v>1534</v>
      </c>
      <c r="J340" s="297" t="s">
        <v>1534</v>
      </c>
      <c r="K340" s="298" t="s">
        <v>15855</v>
      </c>
      <c r="L340" s="298" t="s">
        <v>15855</v>
      </c>
      <c r="M340" s="298" t="s">
        <v>15855</v>
      </c>
      <c r="N340" s="298" t="s">
        <v>15855</v>
      </c>
      <c r="O340" s="298" t="s">
        <v>15855</v>
      </c>
      <c r="P340" s="299" t="s">
        <v>15857</v>
      </c>
      <c r="Q340" s="300" t="s">
        <v>15912</v>
      </c>
      <c r="R340" s="182" t="str">
        <f ca="1">IF(ISERROR($V340),"",OFFSET('Smelter Look-up'!$C$4,$V340-4,0)&amp;"")</f>
        <v>Mitsubishi Materials Corporation</v>
      </c>
      <c r="S340" s="181" t="str">
        <f t="shared" ca="1" si="47"/>
        <v>JP</v>
      </c>
      <c r="T340" s="181" t="str">
        <f ca="1">IF(B340="","",IF(ISERROR(MATCH($J340,SorP!$B$1:$B$6226,0)),"",INDIRECT("'SorP'!$A$"&amp;MATCH($S340&amp;$J340,SorP!C:C,0))))</f>
        <v>JP-13</v>
      </c>
      <c r="U340" s="201"/>
      <c r="V340" s="226">
        <f>IF(C340="",NA(),IF(OR(C340="Smelter not listed",C340="Smelter not yet identified"),MATCH($B340&amp;$D340,'Smelter Look-up'!$J:$J,0),MATCH($B340&amp;$C340,'Smelter Look-up'!$J:$J,0)))</f>
        <v>192</v>
      </c>
      <c r="X340" s="227">
        <f t="shared" si="48"/>
        <v>0</v>
      </c>
      <c r="AB340" s="228" t="str">
        <f t="shared" si="49"/>
        <v>GoldMitsubishi Materials Corporation</v>
      </c>
    </row>
    <row r="341" spans="1:28" s="227" customFormat="1" ht="67.5">
      <c r="A341" s="301" t="s">
        <v>704</v>
      </c>
      <c r="B341" s="293" t="s">
        <v>1119</v>
      </c>
      <c r="C341" s="294" t="s">
        <v>1153</v>
      </c>
      <c r="D341" s="295" t="s">
        <v>1153</v>
      </c>
      <c r="E341" s="293" t="s">
        <v>1098</v>
      </c>
      <c r="F341" s="293" t="s">
        <v>704</v>
      </c>
      <c r="G341" s="293" t="s">
        <v>13217</v>
      </c>
      <c r="H341" s="296" t="s">
        <v>16160</v>
      </c>
      <c r="I341" s="297" t="s">
        <v>1534</v>
      </c>
      <c r="J341" s="297" t="s">
        <v>1534</v>
      </c>
      <c r="K341" s="298" t="s">
        <v>16161</v>
      </c>
      <c r="L341" s="298" t="s">
        <v>16162</v>
      </c>
      <c r="M341" s="298" t="s">
        <v>15855</v>
      </c>
      <c r="N341" s="298" t="s">
        <v>16163</v>
      </c>
      <c r="O341" s="298" t="s">
        <v>16164</v>
      </c>
      <c r="P341" s="299" t="s">
        <v>15857</v>
      </c>
      <c r="Q341" s="300" t="s">
        <v>15907</v>
      </c>
      <c r="R341" s="182" t="str">
        <f ca="1">IF(ISERROR($V341),"",OFFSET('Smelter Look-up'!$C$4,$V341-4,0)&amp;"")</f>
        <v>Mitsubishi Materials Corporation</v>
      </c>
      <c r="S341" s="181" t="str">
        <f t="shared" ca="1" si="47"/>
        <v>JP</v>
      </c>
      <c r="T341" s="181" t="str">
        <f ca="1">IF(B341="","",IF(ISERROR(MATCH($J341,SorP!$B$1:$B$6226,0)),"",INDIRECT("'SorP'!$A$"&amp;MATCH($S341&amp;$J341,SorP!C:C,0))))</f>
        <v>JP-13</v>
      </c>
      <c r="U341" s="201"/>
      <c r="V341" s="226">
        <f>IF(C341="",NA(),IF(OR(C341="Smelter not listed",C341="Smelter not yet identified"),MATCH($B341&amp;$D341,'Smelter Look-up'!$J:$J,0),MATCH($B341&amp;$C341,'Smelter Look-up'!$J:$J,0)))</f>
        <v>192</v>
      </c>
      <c r="X341" s="227">
        <f t="shared" si="48"/>
        <v>0</v>
      </c>
      <c r="AB341" s="228" t="str">
        <f t="shared" si="49"/>
        <v>GoldMitsubishi Materials Corporation</v>
      </c>
    </row>
    <row r="342" spans="1:28" s="227" customFormat="1" ht="67.5">
      <c r="A342" s="301" t="s">
        <v>705</v>
      </c>
      <c r="B342" s="293" t="s">
        <v>1119</v>
      </c>
      <c r="C342" s="294" t="s">
        <v>1218</v>
      </c>
      <c r="D342" s="295" t="s">
        <v>1218</v>
      </c>
      <c r="E342" s="293" t="s">
        <v>1098</v>
      </c>
      <c r="F342" s="293" t="s">
        <v>705</v>
      </c>
      <c r="G342" s="293" t="s">
        <v>13217</v>
      </c>
      <c r="H342" s="296" t="s">
        <v>15855</v>
      </c>
      <c r="I342" s="297" t="s">
        <v>1620</v>
      </c>
      <c r="J342" s="297" t="s">
        <v>1619</v>
      </c>
      <c r="K342" s="298" t="s">
        <v>15855</v>
      </c>
      <c r="L342" s="298" t="s">
        <v>15855</v>
      </c>
      <c r="M342" s="298" t="s">
        <v>15855</v>
      </c>
      <c r="N342" s="298" t="s">
        <v>15855</v>
      </c>
      <c r="O342" s="298" t="s">
        <v>15855</v>
      </c>
      <c r="P342" s="299" t="s">
        <v>15857</v>
      </c>
      <c r="Q342" s="300" t="s">
        <v>15855</v>
      </c>
      <c r="R342" s="182" t="str">
        <f ca="1">IF(ISERROR($V342),"",OFFSET('Smelter Look-up'!$C$4,$V342-4,0)&amp;"")</f>
        <v>Mitsui Mining and Smelting Co., Ltd.</v>
      </c>
      <c r="S342" s="181" t="str">
        <f t="shared" ca="1" si="47"/>
        <v>JP</v>
      </c>
      <c r="T342" s="181" t="str">
        <f ca="1">IF(B342="","",IF(ISERROR(MATCH($J342,SorP!$B$1:$B$6226,0)),"",INDIRECT("'SorP'!$A$"&amp;MATCH($S342&amp;$J342,SorP!C:C,0))))</f>
        <v>JP-34</v>
      </c>
      <c r="U342" s="201"/>
      <c r="V342" s="226">
        <f>IF(C342="",NA(),IF(OR(C342="Smelter not listed",C342="Smelter not yet identified"),MATCH($B342&amp;$D342,'Smelter Look-up'!$J:$J,0),MATCH($B342&amp;$C342,'Smelter Look-up'!$J:$J,0)))</f>
        <v>194</v>
      </c>
      <c r="X342" s="227">
        <f t="shared" si="48"/>
        <v>0</v>
      </c>
      <c r="AB342" s="228" t="str">
        <f t="shared" si="49"/>
        <v>GoldMitsui Mining and Smelting Co., Ltd.</v>
      </c>
    </row>
    <row r="343" spans="1:28" s="227" customFormat="1" ht="67.5">
      <c r="A343" s="301" t="s">
        <v>705</v>
      </c>
      <c r="B343" s="293" t="s">
        <v>1119</v>
      </c>
      <c r="C343" s="294" t="s">
        <v>1218</v>
      </c>
      <c r="D343" s="295" t="s">
        <v>1218</v>
      </c>
      <c r="E343" s="293" t="s">
        <v>1098</v>
      </c>
      <c r="F343" s="293" t="s">
        <v>705</v>
      </c>
      <c r="G343" s="293" t="s">
        <v>13217</v>
      </c>
      <c r="H343" s="296" t="s">
        <v>15855</v>
      </c>
      <c r="I343" s="297" t="s">
        <v>1620</v>
      </c>
      <c r="J343" s="297" t="s">
        <v>1619</v>
      </c>
      <c r="K343" s="298" t="s">
        <v>15855</v>
      </c>
      <c r="L343" s="298" t="s">
        <v>15855</v>
      </c>
      <c r="M343" s="298" t="s">
        <v>15855</v>
      </c>
      <c r="N343" s="298" t="s">
        <v>15855</v>
      </c>
      <c r="O343" s="298" t="s">
        <v>15855</v>
      </c>
      <c r="P343" s="299" t="s">
        <v>15875</v>
      </c>
      <c r="Q343" s="300" t="s">
        <v>15855</v>
      </c>
      <c r="R343" s="182" t="str">
        <f ca="1">IF(ISERROR($V343),"",OFFSET('Smelter Look-up'!$C$4,$V343-4,0)&amp;"")</f>
        <v>Mitsui Mining and Smelting Co., Ltd.</v>
      </c>
      <c r="S343" s="181" t="str">
        <f t="shared" ca="1" si="47"/>
        <v>JP</v>
      </c>
      <c r="T343" s="181" t="str">
        <f ca="1">IF(B343="","",IF(ISERROR(MATCH($J343,SorP!$B$1:$B$6226,0)),"",INDIRECT("'SorP'!$A$"&amp;MATCH($S343&amp;$J343,SorP!C:C,0))))</f>
        <v>JP-34</v>
      </c>
      <c r="U343" s="201"/>
      <c r="V343" s="226">
        <f>IF(C343="",NA(),IF(OR(C343="Smelter not listed",C343="Smelter not yet identified"),MATCH($B343&amp;$D343,'Smelter Look-up'!$J:$J,0),MATCH($B343&amp;$C343,'Smelter Look-up'!$J:$J,0)))</f>
        <v>194</v>
      </c>
      <c r="X343" s="227">
        <f t="shared" si="48"/>
        <v>0</v>
      </c>
      <c r="AB343" s="228" t="str">
        <f t="shared" si="49"/>
        <v>GoldMitsui Mining and Smelting Co., Ltd.</v>
      </c>
    </row>
    <row r="344" spans="1:28" s="227" customFormat="1" ht="67.5">
      <c r="A344" s="301" t="s">
        <v>705</v>
      </c>
      <c r="B344" s="293" t="s">
        <v>1119</v>
      </c>
      <c r="C344" s="294" t="s">
        <v>1218</v>
      </c>
      <c r="D344" s="295" t="s">
        <v>1218</v>
      </c>
      <c r="E344" s="293" t="s">
        <v>1098</v>
      </c>
      <c r="F344" s="293" t="s">
        <v>705</v>
      </c>
      <c r="G344" s="293" t="s">
        <v>13217</v>
      </c>
      <c r="H344" s="296" t="s">
        <v>15855</v>
      </c>
      <c r="I344" s="297" t="s">
        <v>1620</v>
      </c>
      <c r="J344" s="297" t="s">
        <v>1619</v>
      </c>
      <c r="K344" s="298" t="s">
        <v>15855</v>
      </c>
      <c r="L344" s="298" t="s">
        <v>15855</v>
      </c>
      <c r="M344" s="298" t="s">
        <v>15855</v>
      </c>
      <c r="N344" s="298" t="s">
        <v>15855</v>
      </c>
      <c r="O344" s="298" t="s">
        <v>16165</v>
      </c>
      <c r="P344" s="299" t="s">
        <v>15857</v>
      </c>
      <c r="Q344" s="300" t="s">
        <v>15855</v>
      </c>
      <c r="R344" s="182" t="str">
        <f ca="1">IF(ISERROR($V344),"",OFFSET('Smelter Look-up'!$C$4,$V344-4,0)&amp;"")</f>
        <v>Mitsui Mining and Smelting Co., Ltd.</v>
      </c>
      <c r="S344" s="181" t="str">
        <f t="shared" ca="1" si="47"/>
        <v>JP</v>
      </c>
      <c r="T344" s="181" t="str">
        <f ca="1">IF(B344="","",IF(ISERROR(MATCH($J344,SorP!$B$1:$B$6226,0)),"",INDIRECT("'SorP'!$A$"&amp;MATCH($S344&amp;$J344,SorP!C:C,0))))</f>
        <v>JP-34</v>
      </c>
      <c r="U344" s="201"/>
      <c r="V344" s="226">
        <f>IF(C344="",NA(),IF(OR(C344="Smelter not listed",C344="Smelter not yet identified"),MATCH($B344&amp;$D344,'Smelter Look-up'!$J:$J,0),MATCH($B344&amp;$C344,'Smelter Look-up'!$J:$J,0)))</f>
        <v>194</v>
      </c>
      <c r="X344" s="227">
        <f t="shared" si="48"/>
        <v>0</v>
      </c>
      <c r="AB344" s="228" t="str">
        <f t="shared" si="49"/>
        <v>GoldMitsui Mining and Smelting Co., Ltd.</v>
      </c>
    </row>
    <row r="345" spans="1:28" s="227" customFormat="1" ht="67.5">
      <c r="A345" s="301" t="s">
        <v>705</v>
      </c>
      <c r="B345" s="293" t="s">
        <v>1119</v>
      </c>
      <c r="C345" s="294" t="s">
        <v>1218</v>
      </c>
      <c r="D345" s="295" t="s">
        <v>1218</v>
      </c>
      <c r="E345" s="293" t="s">
        <v>1098</v>
      </c>
      <c r="F345" s="293" t="s">
        <v>705</v>
      </c>
      <c r="G345" s="293" t="s">
        <v>13217</v>
      </c>
      <c r="H345" s="296" t="s">
        <v>15855</v>
      </c>
      <c r="I345" s="297" t="s">
        <v>1620</v>
      </c>
      <c r="J345" s="297" t="s">
        <v>1619</v>
      </c>
      <c r="K345" s="298" t="s">
        <v>16166</v>
      </c>
      <c r="L345" s="298" t="s">
        <v>16167</v>
      </c>
      <c r="M345" s="298" t="s">
        <v>16168</v>
      </c>
      <c r="N345" s="298" t="s">
        <v>16169</v>
      </c>
      <c r="O345" s="298" t="s">
        <v>16170</v>
      </c>
      <c r="P345" s="299" t="s">
        <v>15857</v>
      </c>
      <c r="Q345" s="300" t="s">
        <v>15855</v>
      </c>
      <c r="R345" s="182" t="str">
        <f ca="1">IF(ISERROR($V345),"",OFFSET('Smelter Look-up'!$C$4,$V345-4,0)&amp;"")</f>
        <v>Mitsui Mining and Smelting Co., Ltd.</v>
      </c>
      <c r="S345" s="181" t="str">
        <f t="shared" ca="1" si="47"/>
        <v>JP</v>
      </c>
      <c r="T345" s="181" t="str">
        <f ca="1">IF(B345="","",IF(ISERROR(MATCH($J345,SorP!$B$1:$B$6226,0)),"",INDIRECT("'SorP'!$A$"&amp;MATCH($S345&amp;$J345,SorP!C:C,0))))</f>
        <v>JP-34</v>
      </c>
      <c r="U345" s="201"/>
      <c r="V345" s="226">
        <f>IF(C345="",NA(),IF(OR(C345="Smelter not listed",C345="Smelter not yet identified"),MATCH($B345&amp;$D345,'Smelter Look-up'!$J:$J,0),MATCH($B345&amp;$C345,'Smelter Look-up'!$J:$J,0)))</f>
        <v>194</v>
      </c>
      <c r="X345" s="227">
        <f t="shared" si="48"/>
        <v>0</v>
      </c>
      <c r="AB345" s="228" t="str">
        <f t="shared" si="49"/>
        <v>GoldMitsui Mining and Smelting Co., Ltd.</v>
      </c>
    </row>
    <row r="346" spans="1:28" s="227" customFormat="1" ht="67.5">
      <c r="A346" s="301" t="s">
        <v>705</v>
      </c>
      <c r="B346" s="293" t="s">
        <v>1119</v>
      </c>
      <c r="C346" s="294" t="s">
        <v>1218</v>
      </c>
      <c r="D346" s="295" t="s">
        <v>1218</v>
      </c>
      <c r="E346" s="293" t="s">
        <v>1098</v>
      </c>
      <c r="F346" s="293" t="s">
        <v>705</v>
      </c>
      <c r="G346" s="293" t="s">
        <v>13217</v>
      </c>
      <c r="H346" s="302" t="s">
        <v>15880</v>
      </c>
      <c r="I346" s="297" t="s">
        <v>1620</v>
      </c>
      <c r="J346" s="297" t="s">
        <v>1619</v>
      </c>
      <c r="K346" s="298" t="s">
        <v>15855</v>
      </c>
      <c r="L346" s="298" t="s">
        <v>15855</v>
      </c>
      <c r="M346" s="298" t="s">
        <v>15855</v>
      </c>
      <c r="N346" s="298" t="s">
        <v>15855</v>
      </c>
      <c r="O346" s="298" t="s">
        <v>15855</v>
      </c>
      <c r="P346" s="299" t="s">
        <v>15857</v>
      </c>
      <c r="Q346" s="300" t="s">
        <v>15855</v>
      </c>
      <c r="R346" s="182" t="str">
        <f ca="1">IF(ISERROR($V346),"",OFFSET('Smelter Look-up'!$C$4,$V346-4,0)&amp;"")</f>
        <v>Mitsui Mining and Smelting Co., Ltd.</v>
      </c>
      <c r="S346" s="181" t="str">
        <f t="shared" ca="1" si="47"/>
        <v>JP</v>
      </c>
      <c r="T346" s="181" t="str">
        <f ca="1">IF(B346="","",IF(ISERROR(MATCH($J346,SorP!$B$1:$B$6226,0)),"",INDIRECT("'SorP'!$A$"&amp;MATCH($S346&amp;$J346,SorP!C:C,0))))</f>
        <v>JP-34</v>
      </c>
      <c r="U346" s="201"/>
      <c r="V346" s="226">
        <f>IF(C346="",NA(),IF(OR(C346="Smelter not listed",C346="Smelter not yet identified"),MATCH($B346&amp;$D346,'Smelter Look-up'!$J:$J,0),MATCH($B346&amp;$C346,'Smelter Look-up'!$J:$J,0)))</f>
        <v>194</v>
      </c>
      <c r="X346" s="227">
        <f t="shared" si="48"/>
        <v>0</v>
      </c>
      <c r="AB346" s="228" t="str">
        <f t="shared" si="49"/>
        <v>GoldMitsui Mining and Smelting Co., Ltd.</v>
      </c>
    </row>
    <row r="347" spans="1:28" s="227" customFormat="1" ht="67.5">
      <c r="A347" s="301" t="s">
        <v>705</v>
      </c>
      <c r="B347" s="293" t="s">
        <v>1119</v>
      </c>
      <c r="C347" s="294" t="s">
        <v>1218</v>
      </c>
      <c r="D347" s="295" t="s">
        <v>1218</v>
      </c>
      <c r="E347" s="293" t="s">
        <v>1098</v>
      </c>
      <c r="F347" s="293" t="s">
        <v>705</v>
      </c>
      <c r="G347" s="293" t="s">
        <v>13217</v>
      </c>
      <c r="H347" s="302" t="s">
        <v>15880</v>
      </c>
      <c r="I347" s="297" t="s">
        <v>1620</v>
      </c>
      <c r="J347" s="297" t="s">
        <v>1619</v>
      </c>
      <c r="K347" s="298" t="s">
        <v>15855</v>
      </c>
      <c r="L347" s="298" t="s">
        <v>15855</v>
      </c>
      <c r="M347" s="298" t="s">
        <v>15855</v>
      </c>
      <c r="N347" s="298" t="s">
        <v>15855</v>
      </c>
      <c r="O347" s="298" t="s">
        <v>15855</v>
      </c>
      <c r="P347" s="299" t="s">
        <v>15857</v>
      </c>
      <c r="Q347" s="300" t="s">
        <v>16159</v>
      </c>
      <c r="R347" s="182" t="str">
        <f ca="1">IF(ISERROR($V347),"",OFFSET('Smelter Look-up'!$C$4,$V347-4,0)&amp;"")</f>
        <v>Mitsui Mining and Smelting Co., Ltd.</v>
      </c>
      <c r="S347" s="181" t="str">
        <f t="shared" ca="1" si="47"/>
        <v>JP</v>
      </c>
      <c r="T347" s="181" t="str">
        <f ca="1">IF(B347="","",IF(ISERROR(MATCH($J347,SorP!$B$1:$B$6226,0)),"",INDIRECT("'SorP'!$A$"&amp;MATCH($S347&amp;$J347,SorP!C:C,0))))</f>
        <v>JP-34</v>
      </c>
      <c r="U347" s="201"/>
      <c r="V347" s="226">
        <f>IF(C347="",NA(),IF(OR(C347="Smelter not listed",C347="Smelter not yet identified"),MATCH($B347&amp;$D347,'Smelter Look-up'!$J:$J,0),MATCH($B347&amp;$C347,'Smelter Look-up'!$J:$J,0)))</f>
        <v>194</v>
      </c>
      <c r="X347" s="227">
        <f t="shared" si="48"/>
        <v>0</v>
      </c>
      <c r="AB347" s="228" t="str">
        <f t="shared" si="49"/>
        <v>GoldMitsui Mining and Smelting Co., Ltd.</v>
      </c>
    </row>
    <row r="348" spans="1:28" s="227" customFormat="1" ht="67.5">
      <c r="A348" s="301" t="s">
        <v>705</v>
      </c>
      <c r="B348" s="293" t="s">
        <v>1119</v>
      </c>
      <c r="C348" s="294" t="s">
        <v>1218</v>
      </c>
      <c r="D348" s="295" t="s">
        <v>1218</v>
      </c>
      <c r="E348" s="293" t="s">
        <v>1098</v>
      </c>
      <c r="F348" s="293" t="s">
        <v>705</v>
      </c>
      <c r="G348" s="293" t="s">
        <v>13217</v>
      </c>
      <c r="H348" s="302" t="s">
        <v>15880</v>
      </c>
      <c r="I348" s="297" t="s">
        <v>1620</v>
      </c>
      <c r="J348" s="297" t="s">
        <v>1619</v>
      </c>
      <c r="K348" s="298" t="s">
        <v>15855</v>
      </c>
      <c r="L348" s="298" t="s">
        <v>15855</v>
      </c>
      <c r="M348" s="298" t="s">
        <v>15855</v>
      </c>
      <c r="N348" s="298" t="s">
        <v>15855</v>
      </c>
      <c r="O348" s="298" t="s">
        <v>15855</v>
      </c>
      <c r="P348" s="299" t="s">
        <v>15857</v>
      </c>
      <c r="Q348" s="300" t="s">
        <v>15912</v>
      </c>
      <c r="R348" s="182" t="str">
        <f ca="1">IF(ISERROR($V348),"",OFFSET('Smelter Look-up'!$C$4,$V348-4,0)&amp;"")</f>
        <v>Mitsui Mining and Smelting Co., Ltd.</v>
      </c>
      <c r="S348" s="181" t="str">
        <f t="shared" ca="1" si="47"/>
        <v>JP</v>
      </c>
      <c r="T348" s="181" t="str">
        <f ca="1">IF(B348="","",IF(ISERROR(MATCH($J348,SorP!$B$1:$B$6226,0)),"",INDIRECT("'SorP'!$A$"&amp;MATCH($S348&amp;$J348,SorP!C:C,0))))</f>
        <v>JP-34</v>
      </c>
      <c r="U348" s="201"/>
      <c r="V348" s="226">
        <f>IF(C348="",NA(),IF(OR(C348="Smelter not listed",C348="Smelter not yet identified"),MATCH($B348&amp;$D348,'Smelter Look-up'!$J:$J,0),MATCH($B348&amp;$C348,'Smelter Look-up'!$J:$J,0)))</f>
        <v>194</v>
      </c>
      <c r="X348" s="227">
        <f t="shared" si="48"/>
        <v>0</v>
      </c>
      <c r="AB348" s="228" t="str">
        <f t="shared" si="49"/>
        <v>GoldMitsui Mining and Smelting Co., Ltd.</v>
      </c>
    </row>
    <row r="349" spans="1:28" s="227" customFormat="1" ht="67.5">
      <c r="A349" s="301" t="s">
        <v>705</v>
      </c>
      <c r="B349" s="293" t="s">
        <v>1119</v>
      </c>
      <c r="C349" s="294" t="s">
        <v>1218</v>
      </c>
      <c r="D349" s="295" t="s">
        <v>1218</v>
      </c>
      <c r="E349" s="293" t="s">
        <v>1098</v>
      </c>
      <c r="F349" s="293" t="s">
        <v>705</v>
      </c>
      <c r="G349" s="293" t="s">
        <v>13217</v>
      </c>
      <c r="H349" s="296" t="s">
        <v>16171</v>
      </c>
      <c r="I349" s="297" t="s">
        <v>1620</v>
      </c>
      <c r="J349" s="297" t="s">
        <v>1619</v>
      </c>
      <c r="K349" s="298" t="s">
        <v>16172</v>
      </c>
      <c r="L349" s="298" t="s">
        <v>16162</v>
      </c>
      <c r="M349" s="298" t="s">
        <v>15855</v>
      </c>
      <c r="N349" s="298" t="s">
        <v>16173</v>
      </c>
      <c r="O349" s="298" t="s">
        <v>16174</v>
      </c>
      <c r="P349" s="299" t="s">
        <v>15857</v>
      </c>
      <c r="Q349" s="300" t="s">
        <v>15907</v>
      </c>
      <c r="R349" s="182" t="str">
        <f ca="1">IF(ISERROR($V349),"",OFFSET('Smelter Look-up'!$C$4,$V349-4,0)&amp;"")</f>
        <v>Mitsui Mining and Smelting Co., Ltd.</v>
      </c>
      <c r="S349" s="181" t="str">
        <f t="shared" ca="1" si="47"/>
        <v>JP</v>
      </c>
      <c r="T349" s="181" t="str">
        <f ca="1">IF(B349="","",IF(ISERROR(MATCH($J349,SorP!$B$1:$B$6226,0)),"",INDIRECT("'SorP'!$A$"&amp;MATCH($S349&amp;$J349,SorP!C:C,0))))</f>
        <v>JP-34</v>
      </c>
      <c r="U349" s="201"/>
      <c r="V349" s="226">
        <f>IF(C349="",NA(),IF(OR(C349="Smelter not listed",C349="Smelter not yet identified"),MATCH($B349&amp;$D349,'Smelter Look-up'!$J:$J,0),MATCH($B349&amp;$C349,'Smelter Look-up'!$J:$J,0)))</f>
        <v>194</v>
      </c>
      <c r="X349" s="227">
        <f t="shared" si="48"/>
        <v>0</v>
      </c>
      <c r="AB349" s="228" t="str">
        <f t="shared" si="49"/>
        <v>GoldMitsui Mining and Smelting Co., Ltd.</v>
      </c>
    </row>
    <row r="350" spans="1:28" s="227" customFormat="1" ht="27">
      <c r="A350" s="301" t="s">
        <v>712</v>
      </c>
      <c r="B350" s="293" t="s">
        <v>1119</v>
      </c>
      <c r="C350" s="294" t="s">
        <v>15489</v>
      </c>
      <c r="D350" s="295" t="s">
        <v>15489</v>
      </c>
      <c r="E350" s="293" t="s">
        <v>1088</v>
      </c>
      <c r="F350" s="293" t="s">
        <v>712</v>
      </c>
      <c r="G350" s="293" t="s">
        <v>13217</v>
      </c>
      <c r="H350" s="296" t="s">
        <v>15855</v>
      </c>
      <c r="I350" s="297" t="s">
        <v>15492</v>
      </c>
      <c r="J350" s="297" t="s">
        <v>3772</v>
      </c>
      <c r="K350" s="298" t="s">
        <v>15855</v>
      </c>
      <c r="L350" s="298" t="s">
        <v>15855</v>
      </c>
      <c r="M350" s="298" t="s">
        <v>15855</v>
      </c>
      <c r="N350" s="298" t="s">
        <v>15855</v>
      </c>
      <c r="O350" s="298" t="s">
        <v>15855</v>
      </c>
      <c r="P350" s="299" t="s">
        <v>15857</v>
      </c>
      <c r="Q350" s="300" t="s">
        <v>15855</v>
      </c>
      <c r="R350" s="182" t="str">
        <f ca="1">IF(ISERROR($V350),"",OFFSET('Smelter Look-up'!$C$4,$V350-4,0)&amp;"")</f>
        <v>MKS PAMP SA</v>
      </c>
      <c r="S350" s="181" t="str">
        <f t="shared" ca="1" si="47"/>
        <v>CH</v>
      </c>
      <c r="T350" s="181" t="str">
        <f ca="1">IF(B350="","",IF(ISERROR(MATCH($J350,SorP!$B$1:$B$6226,0)),"",INDIRECT("'SorP'!$A$"&amp;MATCH($S350&amp;$J350,SorP!C:C,0))))</f>
        <v>CH-GE</v>
      </c>
      <c r="U350" s="201"/>
      <c r="V350" s="226">
        <f>IF(C350="",NA(),IF(OR(C350="Smelter not listed",C350="Smelter not yet identified"),MATCH($B350&amp;$D350,'Smelter Look-up'!$J:$J,0),MATCH($B350&amp;$C350,'Smelter Look-up'!$J:$J,0)))</f>
        <v>195</v>
      </c>
      <c r="X350" s="227">
        <f t="shared" si="48"/>
        <v>0</v>
      </c>
      <c r="AB350" s="228" t="str">
        <f t="shared" si="49"/>
        <v>GoldMKS PAMP SA</v>
      </c>
    </row>
    <row r="351" spans="1:28" s="227" customFormat="1" ht="27">
      <c r="A351" s="301" t="s">
        <v>712</v>
      </c>
      <c r="B351" s="293" t="s">
        <v>1119</v>
      </c>
      <c r="C351" s="294" t="s">
        <v>15489</v>
      </c>
      <c r="D351" s="295" t="s">
        <v>15489</v>
      </c>
      <c r="E351" s="293" t="s">
        <v>1088</v>
      </c>
      <c r="F351" s="293" t="s">
        <v>712</v>
      </c>
      <c r="G351" s="293" t="s">
        <v>13217</v>
      </c>
      <c r="H351" s="296" t="s">
        <v>16175</v>
      </c>
      <c r="I351" s="297" t="s">
        <v>15492</v>
      </c>
      <c r="J351" s="297" t="s">
        <v>3772</v>
      </c>
      <c r="K351" s="298" t="s">
        <v>16176</v>
      </c>
      <c r="L351" s="298" t="s">
        <v>16177</v>
      </c>
      <c r="M351" s="298" t="s">
        <v>15855</v>
      </c>
      <c r="N351" s="298" t="s">
        <v>16005</v>
      </c>
      <c r="O351" s="298" t="s">
        <v>1088</v>
      </c>
      <c r="P351" s="299" t="s">
        <v>15857</v>
      </c>
      <c r="Q351" s="300" t="s">
        <v>16006</v>
      </c>
      <c r="R351" s="182" t="str">
        <f ca="1">IF(ISERROR($V351),"",OFFSET('Smelter Look-up'!$C$4,$V351-4,0)&amp;"")</f>
        <v>MKS PAMP SA</v>
      </c>
      <c r="S351" s="181" t="str">
        <f t="shared" ca="1" si="47"/>
        <v>CH</v>
      </c>
      <c r="T351" s="181" t="str">
        <f ca="1">IF(B351="","",IF(ISERROR(MATCH($J351,SorP!$B$1:$B$6226,0)),"",INDIRECT("'SorP'!$A$"&amp;MATCH($S351&amp;$J351,SorP!C:C,0))))</f>
        <v>CH-GE</v>
      </c>
      <c r="U351" s="201"/>
      <c r="V351" s="226">
        <f>IF(C351="",NA(),IF(OR(C351="Smelter not listed",C351="Smelter not yet identified"),MATCH($B351&amp;$D351,'Smelter Look-up'!$J:$J,0),MATCH($B351&amp;$C351,'Smelter Look-up'!$J:$J,0)))</f>
        <v>195</v>
      </c>
      <c r="X351" s="227">
        <f t="shared" si="48"/>
        <v>0</v>
      </c>
      <c r="AB351" s="228" t="str">
        <f t="shared" si="49"/>
        <v>GoldMKS PAMP SA</v>
      </c>
    </row>
    <row r="352" spans="1:28" s="227" customFormat="1" ht="27">
      <c r="A352" s="301" t="s">
        <v>712</v>
      </c>
      <c r="B352" s="293" t="s">
        <v>1119</v>
      </c>
      <c r="C352" s="294" t="s">
        <v>15489</v>
      </c>
      <c r="D352" s="295" t="s">
        <v>15489</v>
      </c>
      <c r="E352" s="293" t="s">
        <v>1088</v>
      </c>
      <c r="F352" s="293" t="s">
        <v>712</v>
      </c>
      <c r="G352" s="293" t="s">
        <v>13217</v>
      </c>
      <c r="H352" s="296" t="s">
        <v>16178</v>
      </c>
      <c r="I352" s="297" t="s">
        <v>16179</v>
      </c>
      <c r="J352" s="297" t="s">
        <v>1542</v>
      </c>
      <c r="K352" s="298" t="s">
        <v>16176</v>
      </c>
      <c r="L352" s="298" t="s">
        <v>16177</v>
      </c>
      <c r="M352" s="298" t="s">
        <v>15855</v>
      </c>
      <c r="N352" s="298" t="s">
        <v>16005</v>
      </c>
      <c r="O352" s="298" t="s">
        <v>1088</v>
      </c>
      <c r="P352" s="299" t="s">
        <v>15857</v>
      </c>
      <c r="Q352" s="300" t="s">
        <v>16006</v>
      </c>
      <c r="R352" s="182" t="str">
        <f ca="1">IF(ISERROR($V352),"",OFFSET('Smelter Look-up'!$C$4,$V352-4,0)&amp;"")</f>
        <v>MKS PAMP SA</v>
      </c>
      <c r="S352" s="181" t="str">
        <f t="shared" ca="1" si="47"/>
        <v>CH</v>
      </c>
      <c r="T352" s="181" t="str">
        <f ca="1">IF(B352="","",IF(ISERROR(MATCH($J352,SorP!$B$1:$B$6226,0)),"",INDIRECT("'SorP'!$A$"&amp;MATCH($S352&amp;$J352,SorP!C:C,0))))</f>
        <v>CH-TI</v>
      </c>
      <c r="U352" s="201"/>
      <c r="V352" s="226">
        <f>IF(C352="",NA(),IF(OR(C352="Smelter not listed",C352="Smelter not yet identified"),MATCH($B352&amp;$D352,'Smelter Look-up'!$J:$J,0),MATCH($B352&amp;$C352,'Smelter Look-up'!$J:$J,0)))</f>
        <v>195</v>
      </c>
      <c r="X352" s="227">
        <f t="shared" si="48"/>
        <v>0</v>
      </c>
      <c r="AB352" s="228" t="str">
        <f t="shared" si="49"/>
        <v>GoldMKS PAMP SA</v>
      </c>
    </row>
    <row r="353" spans="1:28" s="227" customFormat="1" ht="54">
      <c r="A353" s="301" t="s">
        <v>1379</v>
      </c>
      <c r="B353" s="293" t="s">
        <v>1119</v>
      </c>
      <c r="C353" s="294" t="s">
        <v>2155</v>
      </c>
      <c r="D353" s="295" t="s">
        <v>2155</v>
      </c>
      <c r="E353" s="293" t="s">
        <v>1096</v>
      </c>
      <c r="F353" s="293" t="s">
        <v>1379</v>
      </c>
      <c r="G353" s="293" t="s">
        <v>13217</v>
      </c>
      <c r="H353" s="296" t="s">
        <v>15855</v>
      </c>
      <c r="I353" s="297" t="s">
        <v>1685</v>
      </c>
      <c r="J353" s="297" t="s">
        <v>16180</v>
      </c>
      <c r="K353" s="298" t="s">
        <v>15855</v>
      </c>
      <c r="L353" s="298" t="s">
        <v>15855</v>
      </c>
      <c r="M353" s="298" t="s">
        <v>15855</v>
      </c>
      <c r="N353" s="298" t="s">
        <v>15855</v>
      </c>
      <c r="O353" s="298" t="s">
        <v>15855</v>
      </c>
      <c r="P353" s="299" t="s">
        <v>15857</v>
      </c>
      <c r="Q353" s="300" t="s">
        <v>15855</v>
      </c>
      <c r="R353" s="182" t="str">
        <f ca="1">IF(ISERROR($V353),"",OFFSET('Smelter Look-up'!$C$4,$V353-4,0)&amp;"")</f>
        <v>MMTC-PAMP India Pvt., Ltd.</v>
      </c>
      <c r="S353" s="181" t="str">
        <f t="shared" ca="1" si="47"/>
        <v>IN</v>
      </c>
      <c r="T353" s="181" t="str">
        <f ca="1">IF(B353="","",IF(ISERROR(MATCH($J353,SorP!$B$1:$B$6226,0)),"",INDIRECT("'SorP'!$A$"&amp;MATCH($S353&amp;$J353,SorP!C:C,0))))</f>
        <v/>
      </c>
      <c r="U353" s="201"/>
      <c r="V353" s="226">
        <f>IF(C353="",NA(),IF(OR(C353="Smelter not listed",C353="Smelter not yet identified"),MATCH($B353&amp;$D353,'Smelter Look-up'!$J:$J,0),MATCH($B353&amp;$C353,'Smelter Look-up'!$J:$J,0)))</f>
        <v>196</v>
      </c>
      <c r="X353" s="227">
        <f t="shared" si="48"/>
        <v>0</v>
      </c>
      <c r="AB353" s="228" t="str">
        <f t="shared" si="49"/>
        <v>GoldMMTC-PAMP India Pvt., Ltd.</v>
      </c>
    </row>
    <row r="354" spans="1:28" s="227" customFormat="1" ht="54">
      <c r="A354" s="301" t="s">
        <v>1379</v>
      </c>
      <c r="B354" s="293" t="s">
        <v>1119</v>
      </c>
      <c r="C354" s="294" t="s">
        <v>2155</v>
      </c>
      <c r="D354" s="295" t="s">
        <v>2155</v>
      </c>
      <c r="E354" s="293" t="s">
        <v>1096</v>
      </c>
      <c r="F354" s="293" t="s">
        <v>1379</v>
      </c>
      <c r="G354" s="293" t="s">
        <v>13217</v>
      </c>
      <c r="H354" s="296" t="s">
        <v>15855</v>
      </c>
      <c r="I354" s="297" t="s">
        <v>1685</v>
      </c>
      <c r="J354" s="297" t="s">
        <v>16180</v>
      </c>
      <c r="K354" s="298" t="s">
        <v>16181</v>
      </c>
      <c r="L354" s="298" t="s">
        <v>16182</v>
      </c>
      <c r="M354" s="298" t="s">
        <v>16183</v>
      </c>
      <c r="N354" s="298" t="s">
        <v>15862</v>
      </c>
      <c r="O354" s="298" t="s">
        <v>15893</v>
      </c>
      <c r="P354" s="299" t="s">
        <v>15857</v>
      </c>
      <c r="Q354" s="300" t="s">
        <v>15855</v>
      </c>
      <c r="R354" s="182" t="str">
        <f ca="1">IF(ISERROR($V354),"",OFFSET('Smelter Look-up'!$C$4,$V354-4,0)&amp;"")</f>
        <v>MMTC-PAMP India Pvt., Ltd.</v>
      </c>
      <c r="S354" s="181" t="str">
        <f t="shared" ca="1" si="47"/>
        <v>IN</v>
      </c>
      <c r="T354" s="181" t="str">
        <f ca="1">IF(B354="","",IF(ISERROR(MATCH($J354,SorP!$B$1:$B$6226,0)),"",INDIRECT("'SorP'!$A$"&amp;MATCH($S354&amp;$J354,SorP!C:C,0))))</f>
        <v/>
      </c>
      <c r="U354" s="201"/>
      <c r="V354" s="226">
        <f>IF(C354="",NA(),IF(OR(C354="Smelter not listed",C354="Smelter not yet identified"),MATCH($B354&amp;$D354,'Smelter Look-up'!$J:$J,0),MATCH($B354&amp;$C354,'Smelter Look-up'!$J:$J,0)))</f>
        <v>196</v>
      </c>
      <c r="X354" s="227">
        <f t="shared" si="48"/>
        <v>0</v>
      </c>
      <c r="AB354" s="228" t="str">
        <f t="shared" si="49"/>
        <v>GoldMMTC-PAMP India Pvt., Ltd.</v>
      </c>
    </row>
    <row r="355" spans="1:28" s="227" customFormat="1" ht="54">
      <c r="A355" s="301" t="s">
        <v>1379</v>
      </c>
      <c r="B355" s="293" t="s">
        <v>1119</v>
      </c>
      <c r="C355" s="294" t="s">
        <v>2155</v>
      </c>
      <c r="D355" s="295" t="s">
        <v>2155</v>
      </c>
      <c r="E355" s="293" t="s">
        <v>1096</v>
      </c>
      <c r="F355" s="293" t="s">
        <v>1379</v>
      </c>
      <c r="G355" s="293" t="s">
        <v>13217</v>
      </c>
      <c r="H355" s="296" t="s">
        <v>15855</v>
      </c>
      <c r="I355" s="297" t="s">
        <v>1685</v>
      </c>
      <c r="J355" s="297" t="s">
        <v>15545</v>
      </c>
      <c r="K355" s="298" t="s">
        <v>15855</v>
      </c>
      <c r="L355" s="298" t="s">
        <v>15855</v>
      </c>
      <c r="M355" s="298" t="s">
        <v>15855</v>
      </c>
      <c r="N355" s="298" t="s">
        <v>15855</v>
      </c>
      <c r="O355" s="298" t="s">
        <v>15858</v>
      </c>
      <c r="P355" s="299" t="s">
        <v>15857</v>
      </c>
      <c r="Q355" s="300" t="s">
        <v>15855</v>
      </c>
      <c r="R355" s="182" t="str">
        <f ca="1">IF(ISERROR($V355),"",OFFSET('Smelter Look-up'!$C$4,$V355-4,0)&amp;"")</f>
        <v>MMTC-PAMP India Pvt., Ltd.</v>
      </c>
      <c r="S355" s="181" t="str">
        <f t="shared" ca="1" si="47"/>
        <v>IN</v>
      </c>
      <c r="T355" s="181" t="str">
        <f ca="1">IF(B355="","",IF(ISERROR(MATCH($J355,SorP!$B$1:$B$6226,0)),"",INDIRECT("'SorP'!$A$"&amp;MATCH($S355&amp;$J355,SorP!C:C,0))))</f>
        <v>IN-HR</v>
      </c>
      <c r="U355" s="201"/>
      <c r="V355" s="226">
        <f>IF(C355="",NA(),IF(OR(C355="Smelter not listed",C355="Smelter not yet identified"),MATCH($B355&amp;$D355,'Smelter Look-up'!$J:$J,0),MATCH($B355&amp;$C355,'Smelter Look-up'!$J:$J,0)))</f>
        <v>196</v>
      </c>
      <c r="X355" s="227">
        <f t="shared" si="48"/>
        <v>0</v>
      </c>
      <c r="AB355" s="228" t="str">
        <f t="shared" si="49"/>
        <v>GoldMMTC-PAMP India Pvt., Ltd.</v>
      </c>
    </row>
    <row r="356" spans="1:28" s="227" customFormat="1" ht="40.5">
      <c r="A356" s="301" t="s">
        <v>2294</v>
      </c>
      <c r="B356" s="293" t="s">
        <v>1119</v>
      </c>
      <c r="C356" s="294" t="s">
        <v>2293</v>
      </c>
      <c r="D356" s="295" t="s">
        <v>2293</v>
      </c>
      <c r="E356" s="293" t="s">
        <v>1105</v>
      </c>
      <c r="F356" s="293" t="s">
        <v>2294</v>
      </c>
      <c r="G356" s="293" t="s">
        <v>13217</v>
      </c>
      <c r="H356" s="296" t="s">
        <v>15855</v>
      </c>
      <c r="I356" s="297" t="s">
        <v>2330</v>
      </c>
      <c r="J356" s="297" t="s">
        <v>2331</v>
      </c>
      <c r="K356" s="298" t="s">
        <v>15855</v>
      </c>
      <c r="L356" s="298" t="s">
        <v>15855</v>
      </c>
      <c r="M356" s="298" t="s">
        <v>15855</v>
      </c>
      <c r="N356" s="298" t="s">
        <v>15855</v>
      </c>
      <c r="O356" s="298" t="s">
        <v>15858</v>
      </c>
      <c r="P356" s="299" t="s">
        <v>15857</v>
      </c>
      <c r="Q356" s="300" t="s">
        <v>15855</v>
      </c>
      <c r="R356" s="182" t="str">
        <f ca="1">IF(ISERROR($V356),"",OFFSET('Smelter Look-up'!$C$4,$V356-4,0)&amp;"")</f>
        <v>Modeltech Sdn Bhd</v>
      </c>
      <c r="S356" s="181" t="str">
        <f t="shared" ca="1" si="47"/>
        <v>MY</v>
      </c>
      <c r="T356" s="181" t="str">
        <f ca="1">IF(B356="","",IF(ISERROR(MATCH($J356,SorP!$B$1:$B$6226,0)),"",INDIRECT("'SorP'!$A$"&amp;MATCH($S356&amp;$J356,SorP!C:C,0))))</f>
        <v>MY-04</v>
      </c>
      <c r="U356" s="201"/>
      <c r="V356" s="226">
        <f>IF(C356="",NA(),IF(OR(C356="Smelter not listed",C356="Smelter not yet identified"),MATCH($B356&amp;$D356,'Smelter Look-up'!$J:$J,0),MATCH($B356&amp;$C356,'Smelter Look-up'!$J:$J,0)))</f>
        <v>197</v>
      </c>
      <c r="X356" s="227">
        <f t="shared" si="48"/>
        <v>0</v>
      </c>
      <c r="AB356" s="228" t="str">
        <f t="shared" si="49"/>
        <v>GoldModeltech Sdn Bhd</v>
      </c>
    </row>
    <row r="357" spans="1:28" s="227" customFormat="1" ht="40.5">
      <c r="A357" s="301" t="s">
        <v>2192</v>
      </c>
      <c r="B357" s="293" t="s">
        <v>1119</v>
      </c>
      <c r="C357" s="294" t="s">
        <v>2191</v>
      </c>
      <c r="D357" s="295" t="s">
        <v>2191</v>
      </c>
      <c r="E357" s="293" t="s">
        <v>1107</v>
      </c>
      <c r="F357" s="293" t="s">
        <v>2192</v>
      </c>
      <c r="G357" s="293" t="s">
        <v>13217</v>
      </c>
      <c r="H357" s="296" t="s">
        <v>15855</v>
      </c>
      <c r="I357" s="297" t="s">
        <v>2295</v>
      </c>
      <c r="J357" s="297" t="s">
        <v>2193</v>
      </c>
      <c r="K357" s="298" t="s">
        <v>15855</v>
      </c>
      <c r="L357" s="298" t="s">
        <v>15855</v>
      </c>
      <c r="M357" s="298" t="s">
        <v>15855</v>
      </c>
      <c r="N357" s="298" t="s">
        <v>15855</v>
      </c>
      <c r="O357" s="298" t="s">
        <v>15858</v>
      </c>
      <c r="P357" s="299" t="s">
        <v>15857</v>
      </c>
      <c r="Q357" s="300" t="s">
        <v>15855</v>
      </c>
      <c r="R357" s="182" t="str">
        <f ca="1">IF(ISERROR($V357),"",OFFSET('Smelter Look-up'!$C$4,$V357-4,0)&amp;"")</f>
        <v>Morris and Watson</v>
      </c>
      <c r="S357" s="181" t="str">
        <f t="shared" ca="1" si="47"/>
        <v>NZ</v>
      </c>
      <c r="T357" s="181" t="str">
        <f ca="1">IF(B357="","",IF(ISERROR(MATCH($J357,SorP!$B$1:$B$6226,0)),"",INDIRECT("'SorP'!$A$"&amp;MATCH($S357&amp;$J357,SorP!C:C,0))))</f>
        <v>NZ-AUK</v>
      </c>
      <c r="U357" s="201"/>
      <c r="V357" s="226">
        <f>IF(C357="",NA(),IF(OR(C357="Smelter not listed",C357="Smelter not yet identified"),MATCH($B357&amp;$D357,'Smelter Look-up'!$J:$J,0),MATCH($B357&amp;$C357,'Smelter Look-up'!$J:$J,0)))</f>
        <v>198</v>
      </c>
      <c r="X357" s="227">
        <f t="shared" si="48"/>
        <v>0</v>
      </c>
      <c r="AB357" s="228" t="str">
        <f t="shared" si="49"/>
        <v>GoldMorris and Watson</v>
      </c>
    </row>
    <row r="358" spans="1:28" s="227" customFormat="1" ht="81">
      <c r="A358" s="301" t="s">
        <v>706</v>
      </c>
      <c r="B358" s="293" t="s">
        <v>1119</v>
      </c>
      <c r="C358" s="294" t="s">
        <v>901</v>
      </c>
      <c r="D358" s="295" t="s">
        <v>901</v>
      </c>
      <c r="E358" s="293" t="s">
        <v>873</v>
      </c>
      <c r="F358" s="293" t="s">
        <v>706</v>
      </c>
      <c r="G358" s="293" t="s">
        <v>13217</v>
      </c>
      <c r="H358" s="296" t="s">
        <v>15855</v>
      </c>
      <c r="I358" s="297" t="s">
        <v>1622</v>
      </c>
      <c r="J358" s="297" t="s">
        <v>9870</v>
      </c>
      <c r="K358" s="298" t="s">
        <v>15855</v>
      </c>
      <c r="L358" s="298" t="s">
        <v>15855</v>
      </c>
      <c r="M358" s="298" t="s">
        <v>15855</v>
      </c>
      <c r="N358" s="298" t="s">
        <v>15855</v>
      </c>
      <c r="O358" s="298" t="s">
        <v>15858</v>
      </c>
      <c r="P358" s="299" t="s">
        <v>15857</v>
      </c>
      <c r="Q358" s="300" t="s">
        <v>15855</v>
      </c>
      <c r="R358" s="182" t="str">
        <f ca="1">IF(ISERROR($V358),"",OFFSET('Smelter Look-up'!$C$4,$V358-4,0)&amp;"")</f>
        <v>Moscow Special Alloys Processing Plant</v>
      </c>
      <c r="S358" s="181" t="str">
        <f t="shared" ref="S358:S388" ca="1" si="50">IF(B358="","",IF(ISERROR(MATCH($E358,CL,0)),"Unknown",INDIRECT("'C'!$A$"&amp;MATCH($E358,CL,0)+1)))</f>
        <v>RU</v>
      </c>
      <c r="T358" s="181" t="str">
        <f ca="1">IF(B358="","",IF(ISERROR(MATCH($J358,SorP!$B$1:$B$6226,0)),"",INDIRECT("'SorP'!$A$"&amp;MATCH($S358&amp;$J358,SorP!C:C,0))))</f>
        <v>RU-MOW</v>
      </c>
      <c r="U358" s="201"/>
      <c r="V358" s="226">
        <f>IF(C358="",NA(),IF(OR(C358="Smelter not listed",C358="Smelter not yet identified"),MATCH($B358&amp;$D358,'Smelter Look-up'!$J:$J,0),MATCH($B358&amp;$C358,'Smelter Look-up'!$J:$J,0)))</f>
        <v>199</v>
      </c>
      <c r="X358" s="227">
        <f t="shared" ref="X358:X388" si="51">IF(AND(C358="Smelter not listed",OR(LEN(D358)=0,LEN(E358)=0)),1,0)</f>
        <v>0</v>
      </c>
      <c r="AB358" s="228" t="str">
        <f t="shared" ref="AB358:AB388" si="52">B358&amp;C358</f>
        <v>GoldMoscow Special Alloys Processing Plant</v>
      </c>
    </row>
    <row r="359" spans="1:28" s="227" customFormat="1" ht="67.5">
      <c r="A359" s="301" t="s">
        <v>707</v>
      </c>
      <c r="B359" s="293" t="s">
        <v>1119</v>
      </c>
      <c r="C359" s="294" t="s">
        <v>12409</v>
      </c>
      <c r="D359" s="295" t="s">
        <v>12409</v>
      </c>
      <c r="E359" s="293" t="s">
        <v>879</v>
      </c>
      <c r="F359" s="293" t="s">
        <v>707</v>
      </c>
      <c r="G359" s="293" t="s">
        <v>13217</v>
      </c>
      <c r="H359" s="296" t="s">
        <v>15855</v>
      </c>
      <c r="I359" s="297" t="s">
        <v>1623</v>
      </c>
      <c r="J359" s="297" t="s">
        <v>11246</v>
      </c>
      <c r="K359" s="298" t="s">
        <v>15855</v>
      </c>
      <c r="L359" s="298" t="s">
        <v>15855</v>
      </c>
      <c r="M359" s="298" t="s">
        <v>15855</v>
      </c>
      <c r="N359" s="298" t="s">
        <v>15855</v>
      </c>
      <c r="O359" s="298" t="s">
        <v>15855</v>
      </c>
      <c r="P359" s="299" t="s">
        <v>15857</v>
      </c>
      <c r="Q359" s="300" t="s">
        <v>15855</v>
      </c>
      <c r="R359" s="182" t="str">
        <f ca="1">IF(ISERROR($V359),"",OFFSET('Smelter Look-up'!$C$4,$V359-4,0)&amp;"")</f>
        <v>Nadir Metal Rafineri San. Ve Tic. A.S.</v>
      </c>
      <c r="S359" s="181" t="str">
        <f t="shared" ca="1" si="50"/>
        <v>TR</v>
      </c>
      <c r="T359" s="181" t="str">
        <f ca="1">IF(B359="","",IF(ISERROR(MATCH($J359,SorP!$B$1:$B$6226,0)),"",INDIRECT("'SorP'!$A$"&amp;MATCH($S359&amp;$J359,SorP!C:C,0))))</f>
        <v>TR-34</v>
      </c>
      <c r="U359" s="201"/>
      <c r="V359" s="226">
        <f>IF(C359="",NA(),IF(OR(C359="Smelter not listed",C359="Smelter not yet identified"),MATCH($B359&amp;$D359,'Smelter Look-up'!$J:$J,0),MATCH($B359&amp;$C359,'Smelter Look-up'!$J:$J,0)))</f>
        <v>200</v>
      </c>
      <c r="X359" s="227">
        <f t="shared" si="51"/>
        <v>0</v>
      </c>
      <c r="AB359" s="228" t="str">
        <f t="shared" si="52"/>
        <v>GoldNadir Metal Rafineri San. Ve Tic. A.S.</v>
      </c>
    </row>
    <row r="360" spans="1:28" s="227" customFormat="1" ht="67.5">
      <c r="A360" s="301" t="s">
        <v>707</v>
      </c>
      <c r="B360" s="293" t="s">
        <v>1119</v>
      </c>
      <c r="C360" s="294" t="s">
        <v>12409</v>
      </c>
      <c r="D360" s="295" t="s">
        <v>12409</v>
      </c>
      <c r="E360" s="293" t="s">
        <v>879</v>
      </c>
      <c r="F360" s="293" t="s">
        <v>707</v>
      </c>
      <c r="G360" s="293" t="s">
        <v>13217</v>
      </c>
      <c r="H360" s="296" t="s">
        <v>15855</v>
      </c>
      <c r="I360" s="297" t="s">
        <v>1623</v>
      </c>
      <c r="J360" s="297" t="s">
        <v>11246</v>
      </c>
      <c r="K360" s="298" t="s">
        <v>15855</v>
      </c>
      <c r="L360" s="298" t="s">
        <v>15855</v>
      </c>
      <c r="M360" s="298" t="s">
        <v>15855</v>
      </c>
      <c r="N360" s="298" t="s">
        <v>15855</v>
      </c>
      <c r="O360" s="298" t="s">
        <v>15858</v>
      </c>
      <c r="P360" s="299" t="s">
        <v>15857</v>
      </c>
      <c r="Q360" s="300" t="s">
        <v>15855</v>
      </c>
      <c r="R360" s="182" t="str">
        <f ca="1">IF(ISERROR($V360),"",OFFSET('Smelter Look-up'!$C$4,$V360-4,0)&amp;"")</f>
        <v>Nadir Metal Rafineri San. Ve Tic. A.S.</v>
      </c>
      <c r="S360" s="181" t="str">
        <f t="shared" ca="1" si="50"/>
        <v>TR</v>
      </c>
      <c r="T360" s="181" t="str">
        <f ca="1">IF(B360="","",IF(ISERROR(MATCH($J360,SorP!$B$1:$B$6226,0)),"",INDIRECT("'SorP'!$A$"&amp;MATCH($S360&amp;$J360,SorP!C:C,0))))</f>
        <v>TR-34</v>
      </c>
      <c r="U360" s="201"/>
      <c r="V360" s="226">
        <f>IF(C360="",NA(),IF(OR(C360="Smelter not listed",C360="Smelter not yet identified"),MATCH($B360&amp;$D360,'Smelter Look-up'!$J:$J,0),MATCH($B360&amp;$C360,'Smelter Look-up'!$J:$J,0)))</f>
        <v>200</v>
      </c>
      <c r="X360" s="227">
        <f t="shared" si="51"/>
        <v>0</v>
      </c>
      <c r="AB360" s="228" t="str">
        <f t="shared" si="52"/>
        <v>GoldNadir Metal Rafineri San. Ve Tic. A.S.</v>
      </c>
    </row>
    <row r="361" spans="1:28" s="227" customFormat="1" ht="67.5">
      <c r="A361" s="301" t="s">
        <v>707</v>
      </c>
      <c r="B361" s="293" t="s">
        <v>1119</v>
      </c>
      <c r="C361" s="294" t="s">
        <v>12409</v>
      </c>
      <c r="D361" s="295" t="s">
        <v>12409</v>
      </c>
      <c r="E361" s="293" t="s">
        <v>879</v>
      </c>
      <c r="F361" s="293" t="s">
        <v>707</v>
      </c>
      <c r="G361" s="293" t="s">
        <v>13217</v>
      </c>
      <c r="H361" s="296" t="s">
        <v>15855</v>
      </c>
      <c r="I361" s="297" t="s">
        <v>1623</v>
      </c>
      <c r="J361" s="297" t="s">
        <v>11246</v>
      </c>
      <c r="K361" s="298" t="s">
        <v>16184</v>
      </c>
      <c r="L361" s="298" t="s">
        <v>16185</v>
      </c>
      <c r="M361" s="298" t="s">
        <v>16186</v>
      </c>
      <c r="N361" s="298" t="s">
        <v>15862</v>
      </c>
      <c r="O361" s="298" t="s">
        <v>15893</v>
      </c>
      <c r="P361" s="299" t="s">
        <v>15857</v>
      </c>
      <c r="Q361" s="300" t="s">
        <v>15855</v>
      </c>
      <c r="R361" s="182" t="str">
        <f ca="1">IF(ISERROR($V361),"",OFFSET('Smelter Look-up'!$C$4,$V361-4,0)&amp;"")</f>
        <v>Nadir Metal Rafineri San. Ve Tic. A.S.</v>
      </c>
      <c r="S361" s="181" t="str">
        <f t="shared" ca="1" si="50"/>
        <v>TR</v>
      </c>
      <c r="T361" s="181" t="str">
        <f ca="1">IF(B361="","",IF(ISERROR(MATCH($J361,SorP!$B$1:$B$6226,0)),"",INDIRECT("'SorP'!$A$"&amp;MATCH($S361&amp;$J361,SorP!C:C,0))))</f>
        <v>TR-34</v>
      </c>
      <c r="U361" s="201"/>
      <c r="V361" s="226">
        <f>IF(C361="",NA(),IF(OR(C361="Smelter not listed",C361="Smelter not yet identified"),MATCH($B361&amp;$D361,'Smelter Look-up'!$J:$J,0),MATCH($B361&amp;$C361,'Smelter Look-up'!$J:$J,0)))</f>
        <v>200</v>
      </c>
      <c r="X361" s="227">
        <f t="shared" si="51"/>
        <v>0</v>
      </c>
      <c r="AB361" s="228" t="str">
        <f t="shared" si="52"/>
        <v>GoldNadir Metal Rafineri San. Ve Tic. A.S.</v>
      </c>
    </row>
    <row r="362" spans="1:28" s="227" customFormat="1" ht="94.5">
      <c r="A362" s="301" t="s">
        <v>708</v>
      </c>
      <c r="B362" s="293" t="s">
        <v>1119</v>
      </c>
      <c r="C362" s="294" t="s">
        <v>1219</v>
      </c>
      <c r="D362" s="295" t="s">
        <v>1219</v>
      </c>
      <c r="E362" s="293" t="s">
        <v>881</v>
      </c>
      <c r="F362" s="293" t="s">
        <v>708</v>
      </c>
      <c r="G362" s="293" t="s">
        <v>13217</v>
      </c>
      <c r="H362" s="296" t="s">
        <v>15855</v>
      </c>
      <c r="I362" s="297" t="s">
        <v>1624</v>
      </c>
      <c r="J362" s="297" t="s">
        <v>11997</v>
      </c>
      <c r="K362" s="298" t="s">
        <v>15855</v>
      </c>
      <c r="L362" s="298" t="s">
        <v>15855</v>
      </c>
      <c r="M362" s="298" t="s">
        <v>15855</v>
      </c>
      <c r="N362" s="298" t="s">
        <v>15855</v>
      </c>
      <c r="O362" s="298" t="s">
        <v>15855</v>
      </c>
      <c r="P362" s="299" t="s">
        <v>15857</v>
      </c>
      <c r="Q362" s="300" t="s">
        <v>15855</v>
      </c>
      <c r="R362" s="182" t="str">
        <f ca="1">IF(ISERROR($V362),"",OFFSET('Smelter Look-up'!$C$4,$V362-4,0)&amp;"")</f>
        <v>Navoi Mining and Metallurgical Combinat</v>
      </c>
      <c r="S362" s="181" t="str">
        <f t="shared" ca="1" si="50"/>
        <v>UZ</v>
      </c>
      <c r="T362" s="181" t="str">
        <f ca="1">IF(B362="","",IF(ISERROR(MATCH($J362,SorP!$B$1:$B$6226,0)),"",INDIRECT("'SorP'!$A$"&amp;MATCH($S362&amp;$J362,SorP!C:C,0))))</f>
        <v>UZ-NW</v>
      </c>
      <c r="U362" s="201"/>
      <c r="V362" s="226">
        <f>IF(C362="",NA(),IF(OR(C362="Smelter not listed",C362="Smelter not yet identified"),MATCH($B362&amp;$D362,'Smelter Look-up'!$J:$J,0),MATCH($B362&amp;$C362,'Smelter Look-up'!$J:$J,0)))</f>
        <v>202</v>
      </c>
      <c r="X362" s="227">
        <f t="shared" si="51"/>
        <v>0</v>
      </c>
      <c r="AB362" s="228" t="str">
        <f t="shared" si="52"/>
        <v>GoldNavoi Mining and Metallurgical Combinat</v>
      </c>
    </row>
    <row r="363" spans="1:28" s="227" customFormat="1" ht="94.5">
      <c r="A363" s="301" t="s">
        <v>708</v>
      </c>
      <c r="B363" s="293" t="s">
        <v>1119</v>
      </c>
      <c r="C363" s="294" t="s">
        <v>1219</v>
      </c>
      <c r="D363" s="295" t="s">
        <v>1219</v>
      </c>
      <c r="E363" s="293" t="s">
        <v>881</v>
      </c>
      <c r="F363" s="293" t="s">
        <v>708</v>
      </c>
      <c r="G363" s="293" t="s">
        <v>13217</v>
      </c>
      <c r="H363" s="296" t="s">
        <v>15855</v>
      </c>
      <c r="I363" s="297" t="s">
        <v>1624</v>
      </c>
      <c r="J363" s="297" t="s">
        <v>11997</v>
      </c>
      <c r="K363" s="298" t="s">
        <v>15855</v>
      </c>
      <c r="L363" s="298" t="s">
        <v>15855</v>
      </c>
      <c r="M363" s="298" t="s">
        <v>15855</v>
      </c>
      <c r="N363" s="298" t="s">
        <v>15855</v>
      </c>
      <c r="O363" s="298" t="s">
        <v>15858</v>
      </c>
      <c r="P363" s="299" t="s">
        <v>15857</v>
      </c>
      <c r="Q363" s="300" t="s">
        <v>15855</v>
      </c>
      <c r="R363" s="182" t="str">
        <f ca="1">IF(ISERROR($V363),"",OFFSET('Smelter Look-up'!$C$4,$V363-4,0)&amp;"")</f>
        <v>Navoi Mining and Metallurgical Combinat</v>
      </c>
      <c r="S363" s="181" t="str">
        <f t="shared" ca="1" si="50"/>
        <v>UZ</v>
      </c>
      <c r="T363" s="181" t="str">
        <f ca="1">IF(B363="","",IF(ISERROR(MATCH($J363,SorP!$B$1:$B$6226,0)),"",INDIRECT("'SorP'!$A$"&amp;MATCH($S363&amp;$J363,SorP!C:C,0))))</f>
        <v>UZ-NW</v>
      </c>
      <c r="U363" s="201"/>
      <c r="V363" s="226">
        <f>IF(C363="",NA(),IF(OR(C363="Smelter not listed",C363="Smelter not yet identified"),MATCH($B363&amp;$D363,'Smelter Look-up'!$J:$J,0),MATCH($B363&amp;$C363,'Smelter Look-up'!$J:$J,0)))</f>
        <v>202</v>
      </c>
      <c r="X363" s="227">
        <f t="shared" si="51"/>
        <v>0</v>
      </c>
      <c r="AB363" s="228" t="str">
        <f t="shared" si="52"/>
        <v>GoldNavoi Mining and Metallurgical Combinat</v>
      </c>
    </row>
    <row r="364" spans="1:28" s="227" customFormat="1" ht="94.5">
      <c r="A364" s="301" t="s">
        <v>708</v>
      </c>
      <c r="B364" s="293" t="s">
        <v>1119</v>
      </c>
      <c r="C364" s="294" t="s">
        <v>1219</v>
      </c>
      <c r="D364" s="295" t="s">
        <v>1219</v>
      </c>
      <c r="E364" s="293" t="s">
        <v>881</v>
      </c>
      <c r="F364" s="293" t="s">
        <v>708</v>
      </c>
      <c r="G364" s="293" t="s">
        <v>13217</v>
      </c>
      <c r="H364" s="296" t="s">
        <v>15855</v>
      </c>
      <c r="I364" s="297" t="s">
        <v>1624</v>
      </c>
      <c r="J364" s="297" t="s">
        <v>11997</v>
      </c>
      <c r="K364" s="298" t="s">
        <v>16187</v>
      </c>
      <c r="L364" s="298" t="s">
        <v>16188</v>
      </c>
      <c r="M364" s="298" t="s">
        <v>16189</v>
      </c>
      <c r="N364" s="298" t="s">
        <v>15862</v>
      </c>
      <c r="O364" s="298" t="s">
        <v>15893</v>
      </c>
      <c r="P364" s="299" t="s">
        <v>15857</v>
      </c>
      <c r="Q364" s="300" t="s">
        <v>15855</v>
      </c>
      <c r="R364" s="182" t="str">
        <f ca="1">IF(ISERROR($V364),"",OFFSET('Smelter Look-up'!$C$4,$V364-4,0)&amp;"")</f>
        <v>Navoi Mining and Metallurgical Combinat</v>
      </c>
      <c r="S364" s="181" t="str">
        <f t="shared" ca="1" si="50"/>
        <v>UZ</v>
      </c>
      <c r="T364" s="181" t="str">
        <f ca="1">IF(B364="","",IF(ISERROR(MATCH($J364,SorP!$B$1:$B$6226,0)),"",INDIRECT("'SorP'!$A$"&amp;MATCH($S364&amp;$J364,SorP!C:C,0))))</f>
        <v>UZ-NW</v>
      </c>
      <c r="U364" s="201"/>
      <c r="V364" s="226">
        <f>IF(C364="",NA(),IF(OR(C364="Smelter not listed",C364="Smelter not yet identified"),MATCH($B364&amp;$D364,'Smelter Look-up'!$J:$J,0),MATCH($B364&amp;$C364,'Smelter Look-up'!$J:$J,0)))</f>
        <v>202</v>
      </c>
      <c r="X364" s="227">
        <f t="shared" si="51"/>
        <v>0</v>
      </c>
      <c r="AB364" s="228" t="str">
        <f t="shared" si="52"/>
        <v>GoldNavoi Mining and Metallurgical Combinat</v>
      </c>
    </row>
    <row r="365" spans="1:28" s="227" customFormat="1" ht="54">
      <c r="A365" s="301" t="s">
        <v>12899</v>
      </c>
      <c r="B365" s="293" t="s">
        <v>1119</v>
      </c>
      <c r="C365" s="294" t="s">
        <v>12898</v>
      </c>
      <c r="D365" s="295" t="s">
        <v>12898</v>
      </c>
      <c r="E365" s="293" t="s">
        <v>1101</v>
      </c>
      <c r="F365" s="293" t="s">
        <v>12899</v>
      </c>
      <c r="G365" s="293" t="s">
        <v>13217</v>
      </c>
      <c r="H365" s="296" t="s">
        <v>15855</v>
      </c>
      <c r="I365" s="297" t="s">
        <v>12916</v>
      </c>
      <c r="J365" s="297" t="s">
        <v>12849</v>
      </c>
      <c r="K365" s="298" t="s">
        <v>15855</v>
      </c>
      <c r="L365" s="298" t="s">
        <v>15855</v>
      </c>
      <c r="M365" s="298" t="s">
        <v>15855</v>
      </c>
      <c r="N365" s="298" t="s">
        <v>15855</v>
      </c>
      <c r="O365" s="298" t="s">
        <v>15855</v>
      </c>
      <c r="P365" s="299" t="s">
        <v>15857</v>
      </c>
      <c r="Q365" s="300" t="s">
        <v>15855</v>
      </c>
      <c r="R365" s="182" t="str">
        <f ca="1">IF(ISERROR($V365),"",OFFSET('Smelter Look-up'!$C$4,$V365-4,0)&amp;"")</f>
        <v>NH Recytech Company</v>
      </c>
      <c r="S365" s="181" t="str">
        <f t="shared" ca="1" si="50"/>
        <v>KR</v>
      </c>
      <c r="T365" s="181" t="str">
        <f ca="1">IF(B365="","",IF(ISERROR(MATCH($J365,SorP!$B$1:$B$6226,0)),"",INDIRECT("'SorP'!$A$"&amp;MATCH($S365&amp;$J365,SorP!C:C,0))))</f>
        <v>KR-41</v>
      </c>
      <c r="U365" s="201"/>
      <c r="V365" s="226">
        <f>IF(C365="",NA(),IF(OR(C365="Smelter not listed",C365="Smelter not yet identified"),MATCH($B365&amp;$D365,'Smelter Look-up'!$J:$J,0),MATCH($B365&amp;$C365,'Smelter Look-up'!$J:$J,0)))</f>
        <v>203</v>
      </c>
      <c r="X365" s="227">
        <f t="shared" si="51"/>
        <v>0</v>
      </c>
      <c r="AB365" s="228" t="str">
        <f t="shared" si="52"/>
        <v>GoldNH Recytech Company</v>
      </c>
    </row>
    <row r="366" spans="1:28" s="227" customFormat="1" ht="54">
      <c r="A366" s="301" t="s">
        <v>12899</v>
      </c>
      <c r="B366" s="293" t="s">
        <v>1119</v>
      </c>
      <c r="C366" s="294" t="s">
        <v>12898</v>
      </c>
      <c r="D366" s="295" t="s">
        <v>12898</v>
      </c>
      <c r="E366" s="293" t="s">
        <v>1101</v>
      </c>
      <c r="F366" s="293" t="s">
        <v>12899</v>
      </c>
      <c r="G366" s="293" t="s">
        <v>13217</v>
      </c>
      <c r="H366" s="296" t="s">
        <v>15855</v>
      </c>
      <c r="I366" s="297" t="s">
        <v>12916</v>
      </c>
      <c r="J366" s="297" t="s">
        <v>12849</v>
      </c>
      <c r="K366" s="298" t="s">
        <v>15855</v>
      </c>
      <c r="L366" s="298" t="s">
        <v>15855</v>
      </c>
      <c r="M366" s="298" t="s">
        <v>15855</v>
      </c>
      <c r="N366" s="298" t="s">
        <v>15855</v>
      </c>
      <c r="O366" s="298" t="s">
        <v>15858</v>
      </c>
      <c r="P366" s="299" t="s">
        <v>15857</v>
      </c>
      <c r="Q366" s="300" t="s">
        <v>15855</v>
      </c>
      <c r="R366" s="182" t="str">
        <f ca="1">IF(ISERROR($V366),"",OFFSET('Smelter Look-up'!$C$4,$V366-4,0)&amp;"")</f>
        <v>NH Recytech Company</v>
      </c>
      <c r="S366" s="181" t="str">
        <f t="shared" ca="1" si="50"/>
        <v>KR</v>
      </c>
      <c r="T366" s="181" t="str">
        <f ca="1">IF(B366="","",IF(ISERROR(MATCH($J366,SorP!$B$1:$B$6226,0)),"",INDIRECT("'SorP'!$A$"&amp;MATCH($S366&amp;$J366,SorP!C:C,0))))</f>
        <v>KR-41</v>
      </c>
      <c r="U366" s="201"/>
      <c r="V366" s="226">
        <f>IF(C366="",NA(),IF(OR(C366="Smelter not listed",C366="Smelter not yet identified"),MATCH($B366&amp;$D366,'Smelter Look-up'!$J:$J,0),MATCH($B366&amp;$C366,'Smelter Look-up'!$J:$J,0)))</f>
        <v>203</v>
      </c>
      <c r="X366" s="227">
        <f t="shared" si="51"/>
        <v>0</v>
      </c>
      <c r="AB366" s="228" t="str">
        <f t="shared" si="52"/>
        <v>GoldNH Recytech Company</v>
      </c>
    </row>
    <row r="367" spans="1:28" s="227" customFormat="1" ht="54">
      <c r="A367" s="301" t="s">
        <v>709</v>
      </c>
      <c r="B367" s="293" t="s">
        <v>1119</v>
      </c>
      <c r="C367" s="294" t="s">
        <v>2138</v>
      </c>
      <c r="D367" s="295" t="s">
        <v>2138</v>
      </c>
      <c r="E367" s="293" t="s">
        <v>1098</v>
      </c>
      <c r="F367" s="293" t="s">
        <v>709</v>
      </c>
      <c r="G367" s="293" t="s">
        <v>13217</v>
      </c>
      <c r="H367" s="296" t="s">
        <v>15855</v>
      </c>
      <c r="I367" s="297" t="s">
        <v>1625</v>
      </c>
      <c r="J367" s="297" t="s">
        <v>1626</v>
      </c>
      <c r="K367" s="298" t="s">
        <v>15855</v>
      </c>
      <c r="L367" s="298" t="s">
        <v>15855</v>
      </c>
      <c r="M367" s="298" t="s">
        <v>15855</v>
      </c>
      <c r="N367" s="298" t="s">
        <v>15855</v>
      </c>
      <c r="O367" s="298" t="s">
        <v>15855</v>
      </c>
      <c r="P367" s="299" t="s">
        <v>15857</v>
      </c>
      <c r="Q367" s="300" t="s">
        <v>15855</v>
      </c>
      <c r="R367" s="182" t="str">
        <f ca="1">IF(ISERROR($V367),"",OFFSET('Smelter Look-up'!$C$4,$V367-4,0)&amp;"")</f>
        <v>Nihon Material Co., Ltd.</v>
      </c>
      <c r="S367" s="181" t="str">
        <f t="shared" ca="1" si="50"/>
        <v>JP</v>
      </c>
      <c r="T367" s="181" t="str">
        <f ca="1">IF(B367="","",IF(ISERROR(MATCH($J367,SorP!$B$1:$B$6226,0)),"",INDIRECT("'SorP'!$A$"&amp;MATCH($S367&amp;$J367,SorP!C:C,0))))</f>
        <v>JP-12</v>
      </c>
      <c r="U367" s="201"/>
      <c r="V367" s="226">
        <f>IF(C367="",NA(),IF(OR(C367="Smelter not listed",C367="Smelter not yet identified"),MATCH($B367&amp;$D367,'Smelter Look-up'!$J:$J,0),MATCH($B367&amp;$C367,'Smelter Look-up'!$J:$J,0)))</f>
        <v>204</v>
      </c>
      <c r="X367" s="227">
        <f t="shared" si="51"/>
        <v>0</v>
      </c>
      <c r="AB367" s="228" t="str">
        <f t="shared" si="52"/>
        <v>GoldNihon Material Co., Ltd.</v>
      </c>
    </row>
    <row r="368" spans="1:28" s="227" customFormat="1" ht="54">
      <c r="A368" s="301" t="s">
        <v>709</v>
      </c>
      <c r="B368" s="293" t="s">
        <v>1119</v>
      </c>
      <c r="C368" s="294" t="s">
        <v>2138</v>
      </c>
      <c r="D368" s="295" t="s">
        <v>2138</v>
      </c>
      <c r="E368" s="293" t="s">
        <v>1098</v>
      </c>
      <c r="F368" s="293" t="s">
        <v>709</v>
      </c>
      <c r="G368" s="293" t="s">
        <v>13217</v>
      </c>
      <c r="H368" s="296" t="s">
        <v>15855</v>
      </c>
      <c r="I368" s="297" t="s">
        <v>1625</v>
      </c>
      <c r="J368" s="297" t="s">
        <v>1626</v>
      </c>
      <c r="K368" s="298" t="s">
        <v>15855</v>
      </c>
      <c r="L368" s="298" t="s">
        <v>15855</v>
      </c>
      <c r="M368" s="298" t="s">
        <v>15855</v>
      </c>
      <c r="N368" s="298" t="s">
        <v>15855</v>
      </c>
      <c r="O368" s="298" t="s">
        <v>15855</v>
      </c>
      <c r="P368" s="299" t="s">
        <v>15857</v>
      </c>
      <c r="Q368" s="300" t="s">
        <v>15907</v>
      </c>
      <c r="R368" s="182" t="str">
        <f ca="1">IF(ISERROR($V368),"",OFFSET('Smelter Look-up'!$C$4,$V368-4,0)&amp;"")</f>
        <v>Nihon Material Co., Ltd.</v>
      </c>
      <c r="S368" s="181" t="str">
        <f t="shared" ca="1" si="50"/>
        <v>JP</v>
      </c>
      <c r="T368" s="181" t="str">
        <f ca="1">IF(B368="","",IF(ISERROR(MATCH($J368,SorP!$B$1:$B$6226,0)),"",INDIRECT("'SorP'!$A$"&amp;MATCH($S368&amp;$J368,SorP!C:C,0))))</f>
        <v>JP-12</v>
      </c>
      <c r="U368" s="201"/>
      <c r="V368" s="226">
        <f>IF(C368="",NA(),IF(OR(C368="Smelter not listed",C368="Smelter not yet identified"),MATCH($B368&amp;$D368,'Smelter Look-up'!$J:$J,0),MATCH($B368&amp;$C368,'Smelter Look-up'!$J:$J,0)))</f>
        <v>204</v>
      </c>
      <c r="X368" s="227">
        <f t="shared" si="51"/>
        <v>0</v>
      </c>
      <c r="AB368" s="228" t="str">
        <f t="shared" si="52"/>
        <v>GoldNihon Material Co., Ltd.</v>
      </c>
    </row>
    <row r="369" spans="1:28" s="227" customFormat="1" ht="54">
      <c r="A369" s="301" t="s">
        <v>709</v>
      </c>
      <c r="B369" s="293" t="s">
        <v>1119</v>
      </c>
      <c r="C369" s="294" t="s">
        <v>2138</v>
      </c>
      <c r="D369" s="295" t="s">
        <v>2138</v>
      </c>
      <c r="E369" s="293" t="s">
        <v>1098</v>
      </c>
      <c r="F369" s="293" t="s">
        <v>709</v>
      </c>
      <c r="G369" s="293" t="s">
        <v>13217</v>
      </c>
      <c r="H369" s="296" t="s">
        <v>15855</v>
      </c>
      <c r="I369" s="297" t="s">
        <v>1625</v>
      </c>
      <c r="J369" s="297" t="s">
        <v>1626</v>
      </c>
      <c r="K369" s="298" t="s">
        <v>15855</v>
      </c>
      <c r="L369" s="298" t="s">
        <v>15855</v>
      </c>
      <c r="M369" s="298" t="s">
        <v>15855</v>
      </c>
      <c r="N369" s="298" t="s">
        <v>15855</v>
      </c>
      <c r="O369" s="298" t="s">
        <v>15855</v>
      </c>
      <c r="P369" s="299" t="s">
        <v>15875</v>
      </c>
      <c r="Q369" s="300" t="s">
        <v>15855</v>
      </c>
      <c r="R369" s="182" t="str">
        <f ca="1">IF(ISERROR($V369),"",OFFSET('Smelter Look-up'!$C$4,$V369-4,0)&amp;"")</f>
        <v>Nihon Material Co., Ltd.</v>
      </c>
      <c r="S369" s="181" t="str">
        <f t="shared" ca="1" si="50"/>
        <v>JP</v>
      </c>
      <c r="T369" s="181" t="str">
        <f ca="1">IF(B369="","",IF(ISERROR(MATCH($J369,SorP!$B$1:$B$6226,0)),"",INDIRECT("'SorP'!$A$"&amp;MATCH($S369&amp;$J369,SorP!C:C,0))))</f>
        <v>JP-12</v>
      </c>
      <c r="U369" s="201"/>
      <c r="V369" s="226">
        <f>IF(C369="",NA(),IF(OR(C369="Smelter not listed",C369="Smelter not yet identified"),MATCH($B369&amp;$D369,'Smelter Look-up'!$J:$J,0),MATCH($B369&amp;$C369,'Smelter Look-up'!$J:$J,0)))</f>
        <v>204</v>
      </c>
      <c r="X369" s="227">
        <f t="shared" si="51"/>
        <v>0</v>
      </c>
      <c r="AB369" s="228" t="str">
        <f t="shared" si="52"/>
        <v>GoldNihon Material Co., Ltd.</v>
      </c>
    </row>
    <row r="370" spans="1:28" s="227" customFormat="1" ht="54">
      <c r="A370" s="301" t="s">
        <v>709</v>
      </c>
      <c r="B370" s="293" t="s">
        <v>1119</v>
      </c>
      <c r="C370" s="294" t="s">
        <v>2138</v>
      </c>
      <c r="D370" s="295" t="s">
        <v>2138</v>
      </c>
      <c r="E370" s="293" t="s">
        <v>1098</v>
      </c>
      <c r="F370" s="293" t="s">
        <v>709</v>
      </c>
      <c r="G370" s="293" t="s">
        <v>13217</v>
      </c>
      <c r="H370" s="296" t="s">
        <v>15855</v>
      </c>
      <c r="I370" s="297" t="s">
        <v>1625</v>
      </c>
      <c r="J370" s="297" t="s">
        <v>1626</v>
      </c>
      <c r="K370" s="298" t="s">
        <v>15855</v>
      </c>
      <c r="L370" s="298" t="s">
        <v>15855</v>
      </c>
      <c r="M370" s="298" t="s">
        <v>15855</v>
      </c>
      <c r="N370" s="298" t="s">
        <v>15855</v>
      </c>
      <c r="O370" s="298" t="s">
        <v>15866</v>
      </c>
      <c r="P370" s="299" t="s">
        <v>15857</v>
      </c>
      <c r="Q370" s="300" t="s">
        <v>15855</v>
      </c>
      <c r="R370" s="182" t="str">
        <f ca="1">IF(ISERROR($V370),"",OFFSET('Smelter Look-up'!$C$4,$V370-4,0)&amp;"")</f>
        <v>Nihon Material Co., Ltd.</v>
      </c>
      <c r="S370" s="181" t="str">
        <f t="shared" ca="1" si="50"/>
        <v>JP</v>
      </c>
      <c r="T370" s="181" t="str">
        <f ca="1">IF(B370="","",IF(ISERROR(MATCH($J370,SorP!$B$1:$B$6226,0)),"",INDIRECT("'SorP'!$A$"&amp;MATCH($S370&amp;$J370,SorP!C:C,0))))</f>
        <v>JP-12</v>
      </c>
      <c r="U370" s="201"/>
      <c r="V370" s="226">
        <f>IF(C370="",NA(),IF(OR(C370="Smelter not listed",C370="Smelter not yet identified"),MATCH($B370&amp;$D370,'Smelter Look-up'!$J:$J,0),MATCH($B370&amp;$C370,'Smelter Look-up'!$J:$J,0)))</f>
        <v>204</v>
      </c>
      <c r="X370" s="227">
        <f t="shared" si="51"/>
        <v>0</v>
      </c>
      <c r="AB370" s="228" t="str">
        <f t="shared" si="52"/>
        <v>GoldNihon Material Co., Ltd.</v>
      </c>
    </row>
    <row r="371" spans="1:28" s="227" customFormat="1" ht="54">
      <c r="A371" s="301" t="s">
        <v>709</v>
      </c>
      <c r="B371" s="293" t="s">
        <v>1119</v>
      </c>
      <c r="C371" s="294" t="s">
        <v>2138</v>
      </c>
      <c r="D371" s="295" t="s">
        <v>2138</v>
      </c>
      <c r="E371" s="293" t="s">
        <v>1098</v>
      </c>
      <c r="F371" s="293" t="s">
        <v>709</v>
      </c>
      <c r="G371" s="293" t="s">
        <v>13217</v>
      </c>
      <c r="H371" s="296" t="s">
        <v>15855</v>
      </c>
      <c r="I371" s="297" t="s">
        <v>1625</v>
      </c>
      <c r="J371" s="297" t="s">
        <v>1626</v>
      </c>
      <c r="K371" s="298" t="s">
        <v>16190</v>
      </c>
      <c r="L371" s="298" t="s">
        <v>16191</v>
      </c>
      <c r="M371" s="298" t="s">
        <v>16192</v>
      </c>
      <c r="N371" s="298" t="s">
        <v>15862</v>
      </c>
      <c r="O371" s="298" t="s">
        <v>16193</v>
      </c>
      <c r="P371" s="299" t="s">
        <v>15875</v>
      </c>
      <c r="Q371" s="300" t="s">
        <v>15855</v>
      </c>
      <c r="R371" s="182" t="str">
        <f ca="1">IF(ISERROR($V371),"",OFFSET('Smelter Look-up'!$C$4,$V371-4,0)&amp;"")</f>
        <v>Nihon Material Co., Ltd.</v>
      </c>
      <c r="S371" s="181" t="str">
        <f t="shared" ca="1" si="50"/>
        <v>JP</v>
      </c>
      <c r="T371" s="181" t="str">
        <f ca="1">IF(B371="","",IF(ISERROR(MATCH($J371,SorP!$B$1:$B$6226,0)),"",INDIRECT("'SorP'!$A$"&amp;MATCH($S371&amp;$J371,SorP!C:C,0))))</f>
        <v>JP-12</v>
      </c>
      <c r="U371" s="201"/>
      <c r="V371" s="226">
        <f>IF(C371="",NA(),IF(OR(C371="Smelter not listed",C371="Smelter not yet identified"),MATCH($B371&amp;$D371,'Smelter Look-up'!$J:$J,0),MATCH($B371&amp;$C371,'Smelter Look-up'!$J:$J,0)))</f>
        <v>204</v>
      </c>
      <c r="X371" s="227">
        <f t="shared" si="51"/>
        <v>0</v>
      </c>
      <c r="AB371" s="228" t="str">
        <f t="shared" si="52"/>
        <v>GoldNihon Material Co., Ltd.</v>
      </c>
    </row>
    <row r="372" spans="1:28" s="227" customFormat="1" ht="54">
      <c r="A372" s="301" t="s">
        <v>709</v>
      </c>
      <c r="B372" s="293" t="s">
        <v>1119</v>
      </c>
      <c r="C372" s="294" t="s">
        <v>2138</v>
      </c>
      <c r="D372" s="295" t="s">
        <v>2138</v>
      </c>
      <c r="E372" s="293" t="s">
        <v>1098</v>
      </c>
      <c r="F372" s="293" t="s">
        <v>709</v>
      </c>
      <c r="G372" s="293" t="s">
        <v>13217</v>
      </c>
      <c r="H372" s="302" t="s">
        <v>15880</v>
      </c>
      <c r="I372" s="297" t="s">
        <v>1625</v>
      </c>
      <c r="J372" s="297" t="s">
        <v>1626</v>
      </c>
      <c r="K372" s="298" t="s">
        <v>15855</v>
      </c>
      <c r="L372" s="298" t="s">
        <v>15855</v>
      </c>
      <c r="M372" s="298" t="s">
        <v>15855</v>
      </c>
      <c r="N372" s="298" t="s">
        <v>15855</v>
      </c>
      <c r="O372" s="298" t="s">
        <v>15855</v>
      </c>
      <c r="P372" s="299" t="s">
        <v>15857</v>
      </c>
      <c r="Q372" s="300" t="s">
        <v>15855</v>
      </c>
      <c r="R372" s="182" t="str">
        <f ca="1">IF(ISERROR($V372),"",OFFSET('Smelter Look-up'!$C$4,$V372-4,0)&amp;"")</f>
        <v>Nihon Material Co., Ltd.</v>
      </c>
      <c r="S372" s="181" t="str">
        <f t="shared" ca="1" si="50"/>
        <v>JP</v>
      </c>
      <c r="T372" s="181" t="str">
        <f ca="1">IF(B372="","",IF(ISERROR(MATCH($J372,SorP!$B$1:$B$6226,0)),"",INDIRECT("'SorP'!$A$"&amp;MATCH($S372&amp;$J372,SorP!C:C,0))))</f>
        <v>JP-12</v>
      </c>
      <c r="U372" s="201"/>
      <c r="V372" s="226">
        <f>IF(C372="",NA(),IF(OR(C372="Smelter not listed",C372="Smelter not yet identified"),MATCH($B372&amp;$D372,'Smelter Look-up'!$J:$J,0),MATCH($B372&amp;$C372,'Smelter Look-up'!$J:$J,0)))</f>
        <v>204</v>
      </c>
      <c r="X372" s="227">
        <f t="shared" si="51"/>
        <v>0</v>
      </c>
      <c r="AB372" s="228" t="str">
        <f t="shared" si="52"/>
        <v>GoldNihon Material Co., Ltd.</v>
      </c>
    </row>
    <row r="373" spans="1:28" s="227" customFormat="1" ht="54">
      <c r="A373" s="301" t="s">
        <v>709</v>
      </c>
      <c r="B373" s="293" t="s">
        <v>1119</v>
      </c>
      <c r="C373" s="294" t="s">
        <v>2138</v>
      </c>
      <c r="D373" s="295" t="s">
        <v>2138</v>
      </c>
      <c r="E373" s="293" t="s">
        <v>1098</v>
      </c>
      <c r="F373" s="293" t="s">
        <v>709</v>
      </c>
      <c r="G373" s="293" t="s">
        <v>13217</v>
      </c>
      <c r="H373" s="302" t="s">
        <v>15880</v>
      </c>
      <c r="I373" s="297" t="s">
        <v>1625</v>
      </c>
      <c r="J373" s="297" t="s">
        <v>1626</v>
      </c>
      <c r="K373" s="298" t="s">
        <v>15855</v>
      </c>
      <c r="L373" s="298" t="s">
        <v>15855</v>
      </c>
      <c r="M373" s="298" t="s">
        <v>15855</v>
      </c>
      <c r="N373" s="298" t="s">
        <v>15855</v>
      </c>
      <c r="O373" s="298" t="s">
        <v>15855</v>
      </c>
      <c r="P373" s="299" t="s">
        <v>15857</v>
      </c>
      <c r="Q373" s="300" t="s">
        <v>16032</v>
      </c>
      <c r="R373" s="182" t="str">
        <f ca="1">IF(ISERROR($V373),"",OFFSET('Smelter Look-up'!$C$4,$V373-4,0)&amp;"")</f>
        <v>Nihon Material Co., Ltd.</v>
      </c>
      <c r="S373" s="181" t="str">
        <f t="shared" ca="1" si="50"/>
        <v>JP</v>
      </c>
      <c r="T373" s="181" t="str">
        <f ca="1">IF(B373="","",IF(ISERROR(MATCH($J373,SorP!$B$1:$B$6226,0)),"",INDIRECT("'SorP'!$A$"&amp;MATCH($S373&amp;$J373,SorP!C:C,0))))</f>
        <v>JP-12</v>
      </c>
      <c r="U373" s="201"/>
      <c r="V373" s="226">
        <f>IF(C373="",NA(),IF(OR(C373="Smelter not listed",C373="Smelter not yet identified"),MATCH($B373&amp;$D373,'Smelter Look-up'!$J:$J,0),MATCH($B373&amp;$C373,'Smelter Look-up'!$J:$J,0)))</f>
        <v>204</v>
      </c>
      <c r="X373" s="227">
        <f t="shared" si="51"/>
        <v>0</v>
      </c>
      <c r="AB373" s="228" t="str">
        <f t="shared" si="52"/>
        <v>GoldNihon Material Co., Ltd.</v>
      </c>
    </row>
    <row r="374" spans="1:28" s="227" customFormat="1" ht="54">
      <c r="A374" s="301" t="s">
        <v>709</v>
      </c>
      <c r="B374" s="293" t="s">
        <v>1119</v>
      </c>
      <c r="C374" s="294" t="s">
        <v>2138</v>
      </c>
      <c r="D374" s="295" t="s">
        <v>2138</v>
      </c>
      <c r="E374" s="293" t="s">
        <v>1098</v>
      </c>
      <c r="F374" s="293" t="s">
        <v>709</v>
      </c>
      <c r="G374" s="293" t="s">
        <v>13217</v>
      </c>
      <c r="H374" s="302" t="s">
        <v>15880</v>
      </c>
      <c r="I374" s="297" t="s">
        <v>1625</v>
      </c>
      <c r="J374" s="297" t="s">
        <v>1626</v>
      </c>
      <c r="K374" s="298" t="s">
        <v>15855</v>
      </c>
      <c r="L374" s="298" t="s">
        <v>15855</v>
      </c>
      <c r="M374" s="298" t="s">
        <v>15855</v>
      </c>
      <c r="N374" s="298" t="s">
        <v>15855</v>
      </c>
      <c r="O374" s="298" t="s">
        <v>15855</v>
      </c>
      <c r="P374" s="299" t="s">
        <v>15857</v>
      </c>
      <c r="Q374" s="300" t="s">
        <v>15912</v>
      </c>
      <c r="R374" s="182" t="str">
        <f ca="1">IF(ISERROR($V374),"",OFFSET('Smelter Look-up'!$C$4,$V374-4,0)&amp;"")</f>
        <v>Nihon Material Co., Ltd.</v>
      </c>
      <c r="S374" s="181" t="str">
        <f t="shared" ca="1" si="50"/>
        <v>JP</v>
      </c>
      <c r="T374" s="181" t="str">
        <f ca="1">IF(B374="","",IF(ISERROR(MATCH($J374,SorP!$B$1:$B$6226,0)),"",INDIRECT("'SorP'!$A$"&amp;MATCH($S374&amp;$J374,SorP!C:C,0))))</f>
        <v>JP-12</v>
      </c>
      <c r="U374" s="201"/>
      <c r="V374" s="226">
        <f>IF(C374="",NA(),IF(OR(C374="Smelter not listed",C374="Smelter not yet identified"),MATCH($B374&amp;$D374,'Smelter Look-up'!$J:$J,0),MATCH($B374&amp;$C374,'Smelter Look-up'!$J:$J,0)))</f>
        <v>204</v>
      </c>
      <c r="X374" s="227">
        <f t="shared" si="51"/>
        <v>0</v>
      </c>
      <c r="AB374" s="228" t="str">
        <f t="shared" si="52"/>
        <v>GoldNihon Material Co., Ltd.</v>
      </c>
    </row>
    <row r="375" spans="1:28" s="227" customFormat="1" ht="135">
      <c r="A375" s="301" t="s">
        <v>2189</v>
      </c>
      <c r="B375" s="293" t="s">
        <v>1119</v>
      </c>
      <c r="C375" s="294" t="s">
        <v>12413</v>
      </c>
      <c r="D375" s="295" t="s">
        <v>12413</v>
      </c>
      <c r="E375" s="293" t="s">
        <v>1084</v>
      </c>
      <c r="F375" s="293" t="s">
        <v>2189</v>
      </c>
      <c r="G375" s="293" t="s">
        <v>13217</v>
      </c>
      <c r="H375" s="296" t="s">
        <v>15855</v>
      </c>
      <c r="I375" s="297" t="s">
        <v>2190</v>
      </c>
      <c r="J375" s="297" t="s">
        <v>2786</v>
      </c>
      <c r="K375" s="298" t="s">
        <v>15855</v>
      </c>
      <c r="L375" s="298" t="s">
        <v>15855</v>
      </c>
      <c r="M375" s="298" t="s">
        <v>15855</v>
      </c>
      <c r="N375" s="298" t="s">
        <v>15855</v>
      </c>
      <c r="O375" s="298" t="s">
        <v>15855</v>
      </c>
      <c r="P375" s="299" t="s">
        <v>15857</v>
      </c>
      <c r="Q375" s="300" t="s">
        <v>15855</v>
      </c>
      <c r="R375" s="182" t="str">
        <f ca="1">IF(ISERROR($V375),"",OFFSET('Smelter Look-up'!$C$4,$V375-4,0)&amp;"")</f>
        <v>Ogussa Osterreichische Gold- und Silber-Scheideanstalt GmbH</v>
      </c>
      <c r="S375" s="181" t="str">
        <f t="shared" ca="1" si="50"/>
        <v>AT</v>
      </c>
      <c r="T375" s="181" t="str">
        <f ca="1">IF(B375="","",IF(ISERROR(MATCH($J375,SorP!$B$1:$B$6226,0)),"",INDIRECT("'SorP'!$A$"&amp;MATCH($S375&amp;$J375,SorP!C:C,0))))</f>
        <v>AT-9</v>
      </c>
      <c r="U375" s="201"/>
      <c r="V375" s="226">
        <f>IF(C375="",NA(),IF(OR(C375="Smelter not listed",C375="Smelter not yet identified"),MATCH($B375&amp;$D375,'Smelter Look-up'!$J:$J,0),MATCH($B375&amp;$C375,'Smelter Look-up'!$J:$J,0)))</f>
        <v>208</v>
      </c>
      <c r="X375" s="227">
        <f t="shared" si="51"/>
        <v>0</v>
      </c>
      <c r="AB375" s="228" t="str">
        <f t="shared" si="52"/>
        <v>GoldOgussa Osterreichische Gold- und Silber-Scheideanstalt GmbH</v>
      </c>
    </row>
    <row r="376" spans="1:28" s="227" customFormat="1" ht="135">
      <c r="A376" s="301" t="s">
        <v>2189</v>
      </c>
      <c r="B376" s="293" t="s">
        <v>1119</v>
      </c>
      <c r="C376" s="294" t="s">
        <v>12413</v>
      </c>
      <c r="D376" s="295" t="s">
        <v>12413</v>
      </c>
      <c r="E376" s="293" t="s">
        <v>1084</v>
      </c>
      <c r="F376" s="293" t="s">
        <v>2189</v>
      </c>
      <c r="G376" s="293" t="s">
        <v>13217</v>
      </c>
      <c r="H376" s="296" t="s">
        <v>15855</v>
      </c>
      <c r="I376" s="297" t="s">
        <v>2190</v>
      </c>
      <c r="J376" s="297" t="s">
        <v>2786</v>
      </c>
      <c r="K376" s="298" t="s">
        <v>15855</v>
      </c>
      <c r="L376" s="298" t="s">
        <v>15855</v>
      </c>
      <c r="M376" s="298" t="s">
        <v>15855</v>
      </c>
      <c r="N376" s="298" t="s">
        <v>15855</v>
      </c>
      <c r="O376" s="298" t="s">
        <v>15858</v>
      </c>
      <c r="P376" s="299" t="s">
        <v>15857</v>
      </c>
      <c r="Q376" s="300" t="s">
        <v>15855</v>
      </c>
      <c r="R376" s="182" t="str">
        <f ca="1">IF(ISERROR($V376),"",OFFSET('Smelter Look-up'!$C$4,$V376-4,0)&amp;"")</f>
        <v>Ogussa Osterreichische Gold- und Silber-Scheideanstalt GmbH</v>
      </c>
      <c r="S376" s="181" t="str">
        <f t="shared" ca="1" si="50"/>
        <v>AT</v>
      </c>
      <c r="T376" s="181" t="str">
        <f ca="1">IF(B376="","",IF(ISERROR(MATCH($J376,SorP!$B$1:$B$6226,0)),"",INDIRECT("'SorP'!$A$"&amp;MATCH($S376&amp;$J376,SorP!C:C,0))))</f>
        <v>AT-9</v>
      </c>
      <c r="U376" s="201"/>
      <c r="V376" s="226">
        <f>IF(C376="",NA(),IF(OR(C376="Smelter not listed",C376="Smelter not yet identified"),MATCH($B376&amp;$D376,'Smelter Look-up'!$J:$J,0),MATCH($B376&amp;$C376,'Smelter Look-up'!$J:$J,0)))</f>
        <v>208</v>
      </c>
      <c r="X376" s="227">
        <f t="shared" si="51"/>
        <v>0</v>
      </c>
      <c r="AB376" s="228" t="str">
        <f t="shared" si="52"/>
        <v>GoldOgussa Osterreichische Gold- und Silber-Scheideanstalt GmbH</v>
      </c>
    </row>
    <row r="377" spans="1:28" s="227" customFormat="1" ht="135">
      <c r="A377" s="301" t="s">
        <v>2189</v>
      </c>
      <c r="B377" s="293" t="s">
        <v>1119</v>
      </c>
      <c r="C377" s="294" t="s">
        <v>12413</v>
      </c>
      <c r="D377" s="295" t="s">
        <v>12413</v>
      </c>
      <c r="E377" s="293" t="s">
        <v>1084</v>
      </c>
      <c r="F377" s="293" t="s">
        <v>2189</v>
      </c>
      <c r="G377" s="293" t="s">
        <v>13217</v>
      </c>
      <c r="H377" s="296" t="s">
        <v>15855</v>
      </c>
      <c r="I377" s="297" t="s">
        <v>2190</v>
      </c>
      <c r="J377" s="297" t="s">
        <v>2786</v>
      </c>
      <c r="K377" s="298" t="s">
        <v>16194</v>
      </c>
      <c r="L377" s="298" t="s">
        <v>16195</v>
      </c>
      <c r="M377" s="298" t="s">
        <v>16196</v>
      </c>
      <c r="N377" s="298" t="s">
        <v>15862</v>
      </c>
      <c r="O377" s="298" t="s">
        <v>15863</v>
      </c>
      <c r="P377" s="299" t="s">
        <v>15857</v>
      </c>
      <c r="Q377" s="300" t="s">
        <v>15855</v>
      </c>
      <c r="R377" s="182" t="str">
        <f ca="1">IF(ISERROR($V377),"",OFFSET('Smelter Look-up'!$C$4,$V377-4,0)&amp;"")</f>
        <v>Ogussa Osterreichische Gold- und Silber-Scheideanstalt GmbH</v>
      </c>
      <c r="S377" s="181" t="str">
        <f t="shared" ca="1" si="50"/>
        <v>AT</v>
      </c>
      <c r="T377" s="181" t="str">
        <f ca="1">IF(B377="","",IF(ISERROR(MATCH($J377,SorP!$B$1:$B$6226,0)),"",INDIRECT("'SorP'!$A$"&amp;MATCH($S377&amp;$J377,SorP!C:C,0))))</f>
        <v>AT-9</v>
      </c>
      <c r="U377" s="201"/>
      <c r="V377" s="226">
        <f>IF(C377="",NA(),IF(OR(C377="Smelter not listed",C377="Smelter not yet identified"),MATCH($B377&amp;$D377,'Smelter Look-up'!$J:$J,0),MATCH($B377&amp;$C377,'Smelter Look-up'!$J:$J,0)))</f>
        <v>208</v>
      </c>
      <c r="X377" s="227">
        <f t="shared" si="51"/>
        <v>0</v>
      </c>
      <c r="AB377" s="228" t="str">
        <f t="shared" si="52"/>
        <v>GoldOgussa Osterreichische Gold- und Silber-Scheideanstalt GmbH</v>
      </c>
    </row>
    <row r="378" spans="1:28" s="227" customFormat="1" ht="135">
      <c r="A378" s="301" t="s">
        <v>2189</v>
      </c>
      <c r="B378" s="293" t="s">
        <v>1119</v>
      </c>
      <c r="C378" s="294" t="s">
        <v>12413</v>
      </c>
      <c r="D378" s="295" t="s">
        <v>12413</v>
      </c>
      <c r="E378" s="293" t="s">
        <v>1084</v>
      </c>
      <c r="F378" s="293" t="s">
        <v>2189</v>
      </c>
      <c r="G378" s="293" t="s">
        <v>13217</v>
      </c>
      <c r="H378" s="302" t="s">
        <v>15880</v>
      </c>
      <c r="I378" s="297" t="s">
        <v>2190</v>
      </c>
      <c r="J378" s="297" t="s">
        <v>2786</v>
      </c>
      <c r="K378" s="298" t="s">
        <v>15855</v>
      </c>
      <c r="L378" s="298" t="s">
        <v>15855</v>
      </c>
      <c r="M378" s="298" t="s">
        <v>15855</v>
      </c>
      <c r="N378" s="298" t="s">
        <v>15855</v>
      </c>
      <c r="O378" s="298" t="s">
        <v>15855</v>
      </c>
      <c r="P378" s="299" t="s">
        <v>15857</v>
      </c>
      <c r="Q378" s="300" t="s">
        <v>15855</v>
      </c>
      <c r="R378" s="182" t="str">
        <f ca="1">IF(ISERROR($V378),"",OFFSET('Smelter Look-up'!$C$4,$V378-4,0)&amp;"")</f>
        <v>Ogussa Osterreichische Gold- und Silber-Scheideanstalt GmbH</v>
      </c>
      <c r="S378" s="181" t="str">
        <f t="shared" ca="1" si="50"/>
        <v>AT</v>
      </c>
      <c r="T378" s="181" t="str">
        <f ca="1">IF(B378="","",IF(ISERROR(MATCH($J378,SorP!$B$1:$B$6226,0)),"",INDIRECT("'SorP'!$A$"&amp;MATCH($S378&amp;$J378,SorP!C:C,0))))</f>
        <v>AT-9</v>
      </c>
      <c r="U378" s="201"/>
      <c r="V378" s="226">
        <f>IF(C378="",NA(),IF(OR(C378="Smelter not listed",C378="Smelter not yet identified"),MATCH($B378&amp;$D378,'Smelter Look-up'!$J:$J,0),MATCH($B378&amp;$C378,'Smelter Look-up'!$J:$J,0)))</f>
        <v>208</v>
      </c>
      <c r="X378" s="227">
        <f t="shared" si="51"/>
        <v>0</v>
      </c>
      <c r="AB378" s="228" t="str">
        <f t="shared" si="52"/>
        <v>GoldOgussa Osterreichische Gold- und Silber-Scheideanstalt GmbH</v>
      </c>
    </row>
    <row r="379" spans="1:28" s="227" customFormat="1" ht="81">
      <c r="A379" s="301" t="s">
        <v>710</v>
      </c>
      <c r="B379" s="293" t="s">
        <v>1119</v>
      </c>
      <c r="C379" s="294" t="s">
        <v>2139</v>
      </c>
      <c r="D379" s="295" t="s">
        <v>2139</v>
      </c>
      <c r="E379" s="293" t="s">
        <v>1098</v>
      </c>
      <c r="F379" s="293" t="s">
        <v>710</v>
      </c>
      <c r="G379" s="293" t="s">
        <v>13217</v>
      </c>
      <c r="H379" s="296" t="s">
        <v>15855</v>
      </c>
      <c r="I379" s="297" t="s">
        <v>1628</v>
      </c>
      <c r="J379" s="297" t="s">
        <v>1629</v>
      </c>
      <c r="K379" s="298" t="s">
        <v>15855</v>
      </c>
      <c r="L379" s="298" t="s">
        <v>15855</v>
      </c>
      <c r="M379" s="298" t="s">
        <v>15855</v>
      </c>
      <c r="N379" s="298" t="s">
        <v>15855</v>
      </c>
      <c r="O379" s="298" t="s">
        <v>15855</v>
      </c>
      <c r="P379" s="299" t="s">
        <v>15857</v>
      </c>
      <c r="Q379" s="300" t="s">
        <v>15855</v>
      </c>
      <c r="R379" s="182" t="str">
        <f ca="1">IF(ISERROR($V379),"",OFFSET('Smelter Look-up'!$C$4,$V379-4,0)&amp;"")</f>
        <v>Ohura Precious Metal Industry Co., Ltd.</v>
      </c>
      <c r="S379" s="181" t="str">
        <f t="shared" ca="1" si="50"/>
        <v>JP</v>
      </c>
      <c r="T379" s="181" t="str">
        <f ca="1">IF(B379="","",IF(ISERROR(MATCH($J379,SorP!$B$1:$B$6226,0)),"",INDIRECT("'SorP'!$A$"&amp;MATCH($S379&amp;$J379,SorP!C:C,0))))</f>
        <v>JP-29</v>
      </c>
      <c r="U379" s="201"/>
      <c r="V379" s="226">
        <f>IF(C379="",NA(),IF(OR(C379="Smelter not listed",C379="Smelter not yet identified"),MATCH($B379&amp;$D379,'Smelter Look-up'!$J:$J,0),MATCH($B379&amp;$C379,'Smelter Look-up'!$J:$J,0)))</f>
        <v>210</v>
      </c>
      <c r="X379" s="227">
        <f t="shared" si="51"/>
        <v>0</v>
      </c>
      <c r="AB379" s="228" t="str">
        <f t="shared" si="52"/>
        <v>GoldOhura Precious Metal Industry Co., Ltd.</v>
      </c>
    </row>
    <row r="380" spans="1:28" s="227" customFormat="1" ht="81">
      <c r="A380" s="301" t="s">
        <v>710</v>
      </c>
      <c r="B380" s="293" t="s">
        <v>1119</v>
      </c>
      <c r="C380" s="294" t="s">
        <v>2139</v>
      </c>
      <c r="D380" s="295" t="s">
        <v>2139</v>
      </c>
      <c r="E380" s="293" t="s">
        <v>1098</v>
      </c>
      <c r="F380" s="293" t="s">
        <v>710</v>
      </c>
      <c r="G380" s="293" t="s">
        <v>13217</v>
      </c>
      <c r="H380" s="296" t="s">
        <v>15855</v>
      </c>
      <c r="I380" s="297" t="s">
        <v>1628</v>
      </c>
      <c r="J380" s="297" t="s">
        <v>1629</v>
      </c>
      <c r="K380" s="298" t="s">
        <v>15855</v>
      </c>
      <c r="L380" s="298" t="s">
        <v>15855</v>
      </c>
      <c r="M380" s="298" t="s">
        <v>15855</v>
      </c>
      <c r="N380" s="298" t="s">
        <v>15855</v>
      </c>
      <c r="O380" s="298" t="s">
        <v>15855</v>
      </c>
      <c r="P380" s="299" t="s">
        <v>15875</v>
      </c>
      <c r="Q380" s="300" t="s">
        <v>15855</v>
      </c>
      <c r="R380" s="182" t="str">
        <f ca="1">IF(ISERROR($V380),"",OFFSET('Smelter Look-up'!$C$4,$V380-4,0)&amp;"")</f>
        <v>Ohura Precious Metal Industry Co., Ltd.</v>
      </c>
      <c r="S380" s="181" t="str">
        <f t="shared" ca="1" si="50"/>
        <v>JP</v>
      </c>
      <c r="T380" s="181" t="str">
        <f ca="1">IF(B380="","",IF(ISERROR(MATCH($J380,SorP!$B$1:$B$6226,0)),"",INDIRECT("'SorP'!$A$"&amp;MATCH($S380&amp;$J380,SorP!C:C,0))))</f>
        <v>JP-29</v>
      </c>
      <c r="U380" s="201"/>
      <c r="V380" s="226">
        <f>IF(C380="",NA(),IF(OR(C380="Smelter not listed",C380="Smelter not yet identified"),MATCH($B380&amp;$D380,'Smelter Look-up'!$J:$J,0),MATCH($B380&amp;$C380,'Smelter Look-up'!$J:$J,0)))</f>
        <v>210</v>
      </c>
      <c r="X380" s="227">
        <f t="shared" si="51"/>
        <v>0</v>
      </c>
      <c r="AB380" s="228" t="str">
        <f t="shared" si="52"/>
        <v>GoldOhura Precious Metal Industry Co., Ltd.</v>
      </c>
    </row>
    <row r="381" spans="1:28" s="227" customFormat="1" ht="81">
      <c r="A381" s="301" t="s">
        <v>710</v>
      </c>
      <c r="B381" s="293" t="s">
        <v>1119</v>
      </c>
      <c r="C381" s="294" t="s">
        <v>2139</v>
      </c>
      <c r="D381" s="295" t="s">
        <v>2139</v>
      </c>
      <c r="E381" s="293" t="s">
        <v>1098</v>
      </c>
      <c r="F381" s="293" t="s">
        <v>710</v>
      </c>
      <c r="G381" s="293" t="s">
        <v>13217</v>
      </c>
      <c r="H381" s="296" t="s">
        <v>15855</v>
      </c>
      <c r="I381" s="297" t="s">
        <v>1628</v>
      </c>
      <c r="J381" s="297" t="s">
        <v>1629</v>
      </c>
      <c r="K381" s="298" t="s">
        <v>15855</v>
      </c>
      <c r="L381" s="298" t="s">
        <v>15855</v>
      </c>
      <c r="M381" s="298" t="s">
        <v>15855</v>
      </c>
      <c r="N381" s="298" t="s">
        <v>15855</v>
      </c>
      <c r="O381" s="298" t="s">
        <v>15876</v>
      </c>
      <c r="P381" s="299" t="s">
        <v>15857</v>
      </c>
      <c r="Q381" s="300" t="s">
        <v>15855</v>
      </c>
      <c r="R381" s="182" t="str">
        <f ca="1">IF(ISERROR($V381),"",OFFSET('Smelter Look-up'!$C$4,$V381-4,0)&amp;"")</f>
        <v>Ohura Precious Metal Industry Co., Ltd.</v>
      </c>
      <c r="S381" s="181" t="str">
        <f t="shared" ca="1" si="50"/>
        <v>JP</v>
      </c>
      <c r="T381" s="181" t="str">
        <f ca="1">IF(B381="","",IF(ISERROR(MATCH($J381,SorP!$B$1:$B$6226,0)),"",INDIRECT("'SorP'!$A$"&amp;MATCH($S381&amp;$J381,SorP!C:C,0))))</f>
        <v>JP-29</v>
      </c>
      <c r="U381" s="201"/>
      <c r="V381" s="226">
        <f>IF(C381="",NA(),IF(OR(C381="Smelter not listed",C381="Smelter not yet identified"),MATCH($B381&amp;$D381,'Smelter Look-up'!$J:$J,0),MATCH($B381&amp;$C381,'Smelter Look-up'!$J:$J,0)))</f>
        <v>210</v>
      </c>
      <c r="X381" s="227">
        <f t="shared" si="51"/>
        <v>0</v>
      </c>
      <c r="AB381" s="228" t="str">
        <f t="shared" si="52"/>
        <v>GoldOhura Precious Metal Industry Co., Ltd.</v>
      </c>
    </row>
    <row r="382" spans="1:28" s="227" customFormat="1" ht="81">
      <c r="A382" s="301" t="s">
        <v>710</v>
      </c>
      <c r="B382" s="293" t="s">
        <v>1119</v>
      </c>
      <c r="C382" s="294" t="s">
        <v>2139</v>
      </c>
      <c r="D382" s="295" t="s">
        <v>2139</v>
      </c>
      <c r="E382" s="293" t="s">
        <v>1098</v>
      </c>
      <c r="F382" s="293" t="s">
        <v>710</v>
      </c>
      <c r="G382" s="293" t="s">
        <v>13217</v>
      </c>
      <c r="H382" s="296" t="s">
        <v>15855</v>
      </c>
      <c r="I382" s="297" t="s">
        <v>1628</v>
      </c>
      <c r="J382" s="297" t="s">
        <v>1629</v>
      </c>
      <c r="K382" s="298" t="s">
        <v>16197</v>
      </c>
      <c r="L382" s="298" t="s">
        <v>16198</v>
      </c>
      <c r="M382" s="298" t="s">
        <v>15892</v>
      </c>
      <c r="N382" s="298" t="s">
        <v>15876</v>
      </c>
      <c r="O382" s="298" t="s">
        <v>15879</v>
      </c>
      <c r="P382" s="299" t="s">
        <v>15875</v>
      </c>
      <c r="Q382" s="300" t="s">
        <v>15855</v>
      </c>
      <c r="R382" s="182" t="str">
        <f ca="1">IF(ISERROR($V382),"",OFFSET('Smelter Look-up'!$C$4,$V382-4,0)&amp;"")</f>
        <v>Ohura Precious Metal Industry Co., Ltd.</v>
      </c>
      <c r="S382" s="181" t="str">
        <f t="shared" ca="1" si="50"/>
        <v>JP</v>
      </c>
      <c r="T382" s="181" t="str">
        <f ca="1">IF(B382="","",IF(ISERROR(MATCH($J382,SorP!$B$1:$B$6226,0)),"",INDIRECT("'SorP'!$A$"&amp;MATCH($S382&amp;$J382,SorP!C:C,0))))</f>
        <v>JP-29</v>
      </c>
      <c r="U382" s="201"/>
      <c r="V382" s="226">
        <f>IF(C382="",NA(),IF(OR(C382="Smelter not listed",C382="Smelter not yet identified"),MATCH($B382&amp;$D382,'Smelter Look-up'!$J:$J,0),MATCH($B382&amp;$C382,'Smelter Look-up'!$J:$J,0)))</f>
        <v>210</v>
      </c>
      <c r="X382" s="227">
        <f t="shared" si="51"/>
        <v>0</v>
      </c>
      <c r="AB382" s="228" t="str">
        <f t="shared" si="52"/>
        <v>GoldOhura Precious Metal Industry Co., Ltd.</v>
      </c>
    </row>
    <row r="383" spans="1:28" s="227" customFormat="1" ht="81">
      <c r="A383" s="301" t="s">
        <v>710</v>
      </c>
      <c r="B383" s="293" t="s">
        <v>1119</v>
      </c>
      <c r="C383" s="294" t="s">
        <v>2139</v>
      </c>
      <c r="D383" s="295" t="s">
        <v>2139</v>
      </c>
      <c r="E383" s="293" t="s">
        <v>1098</v>
      </c>
      <c r="F383" s="293" t="s">
        <v>710</v>
      </c>
      <c r="G383" s="293" t="s">
        <v>13217</v>
      </c>
      <c r="H383" s="302" t="s">
        <v>15880</v>
      </c>
      <c r="I383" s="297" t="s">
        <v>1628</v>
      </c>
      <c r="J383" s="297" t="s">
        <v>1629</v>
      </c>
      <c r="K383" s="298" t="s">
        <v>15855</v>
      </c>
      <c r="L383" s="298" t="s">
        <v>15855</v>
      </c>
      <c r="M383" s="298" t="s">
        <v>15855</v>
      </c>
      <c r="N383" s="298" t="s">
        <v>15855</v>
      </c>
      <c r="O383" s="298" t="s">
        <v>15855</v>
      </c>
      <c r="P383" s="299" t="s">
        <v>15857</v>
      </c>
      <c r="Q383" s="300" t="s">
        <v>15855</v>
      </c>
      <c r="R383" s="182" t="str">
        <f ca="1">IF(ISERROR($V383),"",OFFSET('Smelter Look-up'!$C$4,$V383-4,0)&amp;"")</f>
        <v>Ohura Precious Metal Industry Co., Ltd.</v>
      </c>
      <c r="S383" s="181" t="str">
        <f t="shared" ca="1" si="50"/>
        <v>JP</v>
      </c>
      <c r="T383" s="181" t="str">
        <f ca="1">IF(B383="","",IF(ISERROR(MATCH($J383,SorP!$B$1:$B$6226,0)),"",INDIRECT("'SorP'!$A$"&amp;MATCH($S383&amp;$J383,SorP!C:C,0))))</f>
        <v>JP-29</v>
      </c>
      <c r="U383" s="201"/>
      <c r="V383" s="226">
        <f>IF(C383="",NA(),IF(OR(C383="Smelter not listed",C383="Smelter not yet identified"),MATCH($B383&amp;$D383,'Smelter Look-up'!$J:$J,0),MATCH($B383&amp;$C383,'Smelter Look-up'!$J:$J,0)))</f>
        <v>210</v>
      </c>
      <c r="X383" s="227">
        <f t="shared" si="51"/>
        <v>0</v>
      </c>
      <c r="AB383" s="228" t="str">
        <f t="shared" si="52"/>
        <v>GoldOhura Precious Metal Industry Co., Ltd.</v>
      </c>
    </row>
    <row r="384" spans="1:28" s="227" customFormat="1" ht="162">
      <c r="A384" s="301" t="s">
        <v>711</v>
      </c>
      <c r="B384" s="293" t="s">
        <v>1119</v>
      </c>
      <c r="C384" s="294" t="s">
        <v>2240</v>
      </c>
      <c r="D384" s="295" t="s">
        <v>2240</v>
      </c>
      <c r="E384" s="293" t="s">
        <v>873</v>
      </c>
      <c r="F384" s="293" t="s">
        <v>711</v>
      </c>
      <c r="G384" s="293" t="s">
        <v>13217</v>
      </c>
      <c r="H384" s="296" t="s">
        <v>15855</v>
      </c>
      <c r="I384" s="297" t="s">
        <v>1630</v>
      </c>
      <c r="J384" s="297" t="s">
        <v>10013</v>
      </c>
      <c r="K384" s="298" t="s">
        <v>15855</v>
      </c>
      <c r="L384" s="298" t="s">
        <v>15855</v>
      </c>
      <c r="M384" s="298" t="s">
        <v>15855</v>
      </c>
      <c r="N384" s="298" t="s">
        <v>15855</v>
      </c>
      <c r="O384" s="298" t="s">
        <v>15858</v>
      </c>
      <c r="P384" s="299" t="s">
        <v>15857</v>
      </c>
      <c r="Q384" s="300" t="s">
        <v>15855</v>
      </c>
      <c r="R384" s="182" t="str">
        <f ca="1">IF(ISERROR($V384),"",OFFSET('Smelter Look-up'!$C$4,$V384-4,0)&amp;"")</f>
        <v>OJSC "The Gulidov Krasnoyarsk Non-Ferrous Metals Plant" (OJSC Krastsvetmet)</v>
      </c>
      <c r="S384" s="181" t="str">
        <f t="shared" ca="1" si="50"/>
        <v>RU</v>
      </c>
      <c r="T384" s="181" t="str">
        <f ca="1">IF(B384="","",IF(ISERROR(MATCH($J384,SorP!$B$1:$B$6226,0)),"",INDIRECT("'SorP'!$A$"&amp;MATCH($S384&amp;$J384,SorP!C:C,0))))</f>
        <v>RU-KYA</v>
      </c>
      <c r="U384" s="201"/>
      <c r="V384" s="226">
        <f>IF(C384="",NA(),IF(OR(C384="Smelter not listed",C384="Smelter not yet identified"),MATCH($B384&amp;$D384,'Smelter Look-up'!$J:$J,0),MATCH($B384&amp;$C384,'Smelter Look-up'!$J:$J,0)))</f>
        <v>211</v>
      </c>
      <c r="X384" s="227">
        <f t="shared" si="51"/>
        <v>0</v>
      </c>
      <c r="AB384" s="228" t="str">
        <f t="shared" si="52"/>
        <v>GoldOJSC "The Gulidov Krasnoyarsk Non-Ferrous Metals Plant" (OJSC Krastsvetmet)</v>
      </c>
    </row>
    <row r="385" spans="1:28" s="227" customFormat="1" ht="54">
      <c r="A385" s="301" t="s">
        <v>668</v>
      </c>
      <c r="B385" s="293" t="s">
        <v>1119</v>
      </c>
      <c r="C385" s="294" t="s">
        <v>15029</v>
      </c>
      <c r="D385" s="295" t="s">
        <v>2183</v>
      </c>
      <c r="E385" s="293" t="s">
        <v>873</v>
      </c>
      <c r="F385" s="293" t="s">
        <v>668</v>
      </c>
      <c r="G385" s="293" t="s">
        <v>13217</v>
      </c>
      <c r="H385" s="296" t="s">
        <v>15855</v>
      </c>
      <c r="I385" s="297" t="s">
        <v>1574</v>
      </c>
      <c r="J385" s="297" t="s">
        <v>9983</v>
      </c>
      <c r="K385" s="298" t="s">
        <v>15855</v>
      </c>
      <c r="L385" s="298" t="s">
        <v>15855</v>
      </c>
      <c r="M385" s="298" t="s">
        <v>15855</v>
      </c>
      <c r="N385" s="298" t="s">
        <v>15855</v>
      </c>
      <c r="O385" s="298" t="s">
        <v>15858</v>
      </c>
      <c r="P385" s="299" t="s">
        <v>15857</v>
      </c>
      <c r="Q385" s="300" t="s">
        <v>15855</v>
      </c>
      <c r="R385" s="182" t="str">
        <f ca="1">IF(ISERROR($V385),"",OFFSET('Smelter Look-up'!$C$4,$V385-4,0)&amp;"")</f>
        <v>JSC Novosibirsk Refinery</v>
      </c>
      <c r="S385" s="181" t="str">
        <f t="shared" ca="1" si="50"/>
        <v>RU</v>
      </c>
      <c r="T385" s="181" t="str">
        <f ca="1">IF(B385="","",IF(ISERROR(MATCH($J385,SorP!$B$1:$B$6226,0)),"",INDIRECT("'SorP'!$A$"&amp;MATCH($S385&amp;$J385,SorP!C:C,0))))</f>
        <v>RU-NVS</v>
      </c>
      <c r="U385" s="201"/>
      <c r="V385" s="226">
        <f>IF(C385="",NA(),IF(OR(C385="Smelter not listed",C385="Smelter not yet identified"),MATCH($B385&amp;$D385,'Smelter Look-up'!$J:$J,0),MATCH($B385&amp;$C385,'Smelter Look-up'!$J:$J,0)))</f>
        <v>139</v>
      </c>
      <c r="X385" s="227">
        <f t="shared" si="51"/>
        <v>0</v>
      </c>
      <c r="AB385" s="228" t="str">
        <f t="shared" si="52"/>
        <v>GoldJSC Novosibirsk Refinery</v>
      </c>
    </row>
    <row r="386" spans="1:28" s="227" customFormat="1" ht="27">
      <c r="A386" s="301" t="s">
        <v>712</v>
      </c>
      <c r="B386" s="293" t="s">
        <v>1119</v>
      </c>
      <c r="C386" s="294" t="s">
        <v>15489</v>
      </c>
      <c r="D386" s="295" t="s">
        <v>2296</v>
      </c>
      <c r="E386" s="293" t="s">
        <v>1088</v>
      </c>
      <c r="F386" s="293" t="s">
        <v>712</v>
      </c>
      <c r="G386" s="293" t="s">
        <v>13217</v>
      </c>
      <c r="H386" s="296" t="s">
        <v>15855</v>
      </c>
      <c r="I386" s="297" t="s">
        <v>15492</v>
      </c>
      <c r="J386" s="297" t="s">
        <v>3772</v>
      </c>
      <c r="K386" s="298" t="s">
        <v>15855</v>
      </c>
      <c r="L386" s="298" t="s">
        <v>15855</v>
      </c>
      <c r="M386" s="298" t="s">
        <v>15855</v>
      </c>
      <c r="N386" s="298" t="s">
        <v>15855</v>
      </c>
      <c r="O386" s="298" t="s">
        <v>15855</v>
      </c>
      <c r="P386" s="299" t="s">
        <v>15857</v>
      </c>
      <c r="Q386" s="300" t="s">
        <v>15855</v>
      </c>
      <c r="R386" s="182" t="str">
        <f ca="1">IF(ISERROR($V386),"",OFFSET('Smelter Look-up'!$C$4,$V386-4,0)&amp;"")</f>
        <v>MKS PAMP SA</v>
      </c>
      <c r="S386" s="181" t="str">
        <f t="shared" ca="1" si="50"/>
        <v>CH</v>
      </c>
      <c r="T386" s="181" t="str">
        <f ca="1">IF(B386="","",IF(ISERROR(MATCH($J386,SorP!$B$1:$B$6226,0)),"",INDIRECT("'SorP'!$A$"&amp;MATCH($S386&amp;$J386,SorP!C:C,0))))</f>
        <v>CH-GE</v>
      </c>
      <c r="U386" s="201"/>
      <c r="V386" s="226">
        <f>IF(C386="",NA(),IF(OR(C386="Smelter not listed",C386="Smelter not yet identified"),MATCH($B386&amp;$D386,'Smelter Look-up'!$J:$J,0),MATCH($B386&amp;$C386,'Smelter Look-up'!$J:$J,0)))</f>
        <v>195</v>
      </c>
      <c r="X386" s="227">
        <f t="shared" si="51"/>
        <v>0</v>
      </c>
      <c r="AB386" s="228" t="str">
        <f t="shared" si="52"/>
        <v>GoldMKS PAMP SA</v>
      </c>
    </row>
    <row r="387" spans="1:28" s="227" customFormat="1" ht="27">
      <c r="A387" s="301" t="s">
        <v>712</v>
      </c>
      <c r="B387" s="293" t="s">
        <v>1119</v>
      </c>
      <c r="C387" s="294" t="s">
        <v>15489</v>
      </c>
      <c r="D387" s="295" t="s">
        <v>2296</v>
      </c>
      <c r="E387" s="293" t="s">
        <v>1088</v>
      </c>
      <c r="F387" s="293" t="s">
        <v>712</v>
      </c>
      <c r="G387" s="293" t="s">
        <v>13217</v>
      </c>
      <c r="H387" s="296" t="s">
        <v>15855</v>
      </c>
      <c r="I387" s="297" t="s">
        <v>15492</v>
      </c>
      <c r="J387" s="297" t="s">
        <v>3772</v>
      </c>
      <c r="K387" s="298" t="s">
        <v>15855</v>
      </c>
      <c r="L387" s="298" t="s">
        <v>15855</v>
      </c>
      <c r="M387" s="298" t="s">
        <v>15855</v>
      </c>
      <c r="N387" s="298" t="s">
        <v>15855</v>
      </c>
      <c r="O387" s="298" t="s">
        <v>16199</v>
      </c>
      <c r="P387" s="299" t="s">
        <v>15857</v>
      </c>
      <c r="Q387" s="300" t="s">
        <v>15855</v>
      </c>
      <c r="R387" s="182" t="str">
        <f ca="1">IF(ISERROR($V387),"",OFFSET('Smelter Look-up'!$C$4,$V387-4,0)&amp;"")</f>
        <v>MKS PAMP SA</v>
      </c>
      <c r="S387" s="181" t="str">
        <f t="shared" ca="1" si="50"/>
        <v>CH</v>
      </c>
      <c r="T387" s="181" t="str">
        <f ca="1">IF(B387="","",IF(ISERROR(MATCH($J387,SorP!$B$1:$B$6226,0)),"",INDIRECT("'SorP'!$A$"&amp;MATCH($S387&amp;$J387,SorP!C:C,0))))</f>
        <v>CH-GE</v>
      </c>
      <c r="U387" s="201"/>
      <c r="V387" s="226">
        <f>IF(C387="",NA(),IF(OR(C387="Smelter not listed",C387="Smelter not yet identified"),MATCH($B387&amp;$D387,'Smelter Look-up'!$J:$J,0),MATCH($B387&amp;$C387,'Smelter Look-up'!$J:$J,0)))</f>
        <v>195</v>
      </c>
      <c r="X387" s="227">
        <f t="shared" si="51"/>
        <v>0</v>
      </c>
      <c r="AB387" s="228" t="str">
        <f t="shared" si="52"/>
        <v>GoldMKS PAMP SA</v>
      </c>
    </row>
    <row r="388" spans="1:28" s="227" customFormat="1" ht="27">
      <c r="A388" s="301" t="s">
        <v>712</v>
      </c>
      <c r="B388" s="293" t="s">
        <v>1119</v>
      </c>
      <c r="C388" s="294" t="s">
        <v>2296</v>
      </c>
      <c r="D388" s="295" t="s">
        <v>2296</v>
      </c>
      <c r="E388" s="293" t="s">
        <v>1088</v>
      </c>
      <c r="F388" s="293" t="s">
        <v>712</v>
      </c>
      <c r="G388" s="293" t="s">
        <v>13217</v>
      </c>
      <c r="H388" s="296" t="s">
        <v>15855</v>
      </c>
      <c r="I388" s="297" t="s">
        <v>16179</v>
      </c>
      <c r="J388" s="297" t="s">
        <v>1542</v>
      </c>
      <c r="K388" s="298" t="s">
        <v>15855</v>
      </c>
      <c r="L388" s="298" t="s">
        <v>15855</v>
      </c>
      <c r="M388" s="298" t="s">
        <v>15855</v>
      </c>
      <c r="N388" s="298" t="s">
        <v>15855</v>
      </c>
      <c r="O388" s="298" t="s">
        <v>15855</v>
      </c>
      <c r="P388" s="299" t="s">
        <v>15857</v>
      </c>
      <c r="Q388" s="300" t="s">
        <v>15855</v>
      </c>
      <c r="R388" s="182" t="str">
        <f ca="1">IF(ISERROR($V388),"",OFFSET('Smelter Look-up'!$C$4,$V388-4,0)&amp;"")</f>
        <v>MKS PAMP SA</v>
      </c>
      <c r="S388" s="181" t="str">
        <f t="shared" ca="1" si="50"/>
        <v>CH</v>
      </c>
      <c r="T388" s="181" t="str">
        <f ca="1">IF(B388="","",IF(ISERROR(MATCH($J388,SorP!$B$1:$B$6226,0)),"",INDIRECT("'SorP'!$A$"&amp;MATCH($S388&amp;$J388,SorP!C:C,0))))</f>
        <v>CH-TI</v>
      </c>
      <c r="U388" s="201"/>
      <c r="V388" s="226">
        <f>IF(C388="",NA(),IF(OR(C388="Smelter not listed",C388="Smelter not yet identified"),MATCH($B388&amp;$D388,'Smelter Look-up'!$J:$J,0),MATCH($B388&amp;$C388,'Smelter Look-up'!$J:$J,0)))</f>
        <v>214</v>
      </c>
      <c r="X388" s="227">
        <f t="shared" si="51"/>
        <v>0</v>
      </c>
      <c r="AB388" s="228" t="str">
        <f t="shared" si="52"/>
        <v>GoldPAMP S.A.</v>
      </c>
    </row>
    <row r="389" spans="1:28" s="227" customFormat="1" ht="27">
      <c r="A389" s="301" t="s">
        <v>712</v>
      </c>
      <c r="B389" s="293" t="s">
        <v>1119</v>
      </c>
      <c r="C389" s="294" t="s">
        <v>2296</v>
      </c>
      <c r="D389" s="295" t="s">
        <v>2296</v>
      </c>
      <c r="E389" s="293" t="s">
        <v>1088</v>
      </c>
      <c r="F389" s="293" t="s">
        <v>712</v>
      </c>
      <c r="G389" s="293" t="s">
        <v>13217</v>
      </c>
      <c r="H389" s="296" t="s">
        <v>15855</v>
      </c>
      <c r="I389" s="297" t="s">
        <v>16179</v>
      </c>
      <c r="J389" s="297" t="s">
        <v>1542</v>
      </c>
      <c r="K389" s="298" t="s">
        <v>16200</v>
      </c>
      <c r="L389" s="298" t="s">
        <v>16177</v>
      </c>
      <c r="M389" s="298" t="s">
        <v>16201</v>
      </c>
      <c r="N389" s="298" t="s">
        <v>16202</v>
      </c>
      <c r="O389" s="298" t="s">
        <v>16202</v>
      </c>
      <c r="P389" s="299" t="s">
        <v>15857</v>
      </c>
      <c r="Q389" s="300" t="s">
        <v>16203</v>
      </c>
      <c r="R389" s="182" t="str">
        <f ca="1">IF(ISERROR($V389),"",OFFSET('Smelter Look-up'!$C$4,$V389-4,0)&amp;"")</f>
        <v>MKS PAMP SA</v>
      </c>
      <c r="S389" s="181" t="str">
        <f t="shared" ref="S389" ca="1" si="53">IF(B389="","",IF(ISERROR(MATCH($E389,CL,0)),"Unknown",INDIRECT("'C'!$A$"&amp;MATCH($E389,CL,0)+1)))</f>
        <v>CH</v>
      </c>
      <c r="T389" s="181" t="str">
        <f ca="1">IF(B389="","",IF(ISERROR(MATCH($J389,SorP!$B$1:$B$6226,0)),"",INDIRECT("'SorP'!$A$"&amp;MATCH($S389&amp;$J389,SorP!C:C,0))))</f>
        <v>CH-TI</v>
      </c>
      <c r="U389" s="201"/>
      <c r="V389" s="226">
        <f>IF(C389="",NA(),IF(OR(C389="Smelter not listed",C389="Smelter not yet identified"),MATCH($B389&amp;$D389,'Smelter Look-up'!$J:$J,0),MATCH($B389&amp;$C389,'Smelter Look-up'!$J:$J,0)))</f>
        <v>214</v>
      </c>
      <c r="X389" s="227">
        <f t="shared" ref="X389" si="54">IF(AND(C389="Smelter not listed",OR(LEN(D389)=0,LEN(E389)=0)),1,0)</f>
        <v>0</v>
      </c>
      <c r="AB389" s="228" t="str">
        <f t="shared" ref="AB389" si="55">B389&amp;C389</f>
        <v>GoldPAMP S.A.</v>
      </c>
    </row>
    <row r="390" spans="1:28" s="227" customFormat="1" ht="27">
      <c r="A390" s="301" t="s">
        <v>712</v>
      </c>
      <c r="B390" s="293" t="s">
        <v>1119</v>
      </c>
      <c r="C390" s="294" t="s">
        <v>2296</v>
      </c>
      <c r="D390" s="295" t="s">
        <v>2296</v>
      </c>
      <c r="E390" s="293" t="s">
        <v>1088</v>
      </c>
      <c r="F390" s="293" t="s">
        <v>712</v>
      </c>
      <c r="G390" s="293" t="s">
        <v>13217</v>
      </c>
      <c r="H390" s="296" t="s">
        <v>15855</v>
      </c>
      <c r="I390" s="297" t="s">
        <v>16179</v>
      </c>
      <c r="J390" s="297" t="s">
        <v>1542</v>
      </c>
      <c r="K390" s="298" t="s">
        <v>16204</v>
      </c>
      <c r="L390" s="298" t="s">
        <v>16205</v>
      </c>
      <c r="M390" s="298" t="s">
        <v>16206</v>
      </c>
      <c r="N390" s="298" t="s">
        <v>15862</v>
      </c>
      <c r="O390" s="298" t="s">
        <v>15893</v>
      </c>
      <c r="P390" s="299" t="s">
        <v>15857</v>
      </c>
      <c r="Q390" s="300" t="s">
        <v>15855</v>
      </c>
      <c r="R390" s="182" t="str">
        <f ca="1">IF(ISERROR($V390),"",OFFSET('Smelter Look-up'!$C$4,$V390-4,0)&amp;"")</f>
        <v>MKS PAMP SA</v>
      </c>
      <c r="S390" s="181" t="str">
        <f t="shared" ref="S390:S421" ca="1" si="56">IF(B390="","",IF(ISERROR(MATCH($E390,CL,0)),"Unknown",INDIRECT("'C'!$A$"&amp;MATCH($E390,CL,0)+1)))</f>
        <v>CH</v>
      </c>
      <c r="T390" s="181" t="str">
        <f ca="1">IF(B390="","",IF(ISERROR(MATCH($J390,SorP!$B$1:$B$6226,0)),"",INDIRECT("'SorP'!$A$"&amp;MATCH($S390&amp;$J390,SorP!C:C,0))))</f>
        <v>CH-TI</v>
      </c>
      <c r="U390" s="201"/>
      <c r="V390" s="226">
        <f>IF(C390="",NA(),IF(OR(C390="Smelter not listed",C390="Smelter not yet identified"),MATCH($B390&amp;$D390,'Smelter Look-up'!$J:$J,0),MATCH($B390&amp;$C390,'Smelter Look-up'!$J:$J,0)))</f>
        <v>214</v>
      </c>
      <c r="X390" s="227">
        <f t="shared" ref="X390:X421" si="57">IF(AND(C390="Smelter not listed",OR(LEN(D390)=0,LEN(E390)=0)),1,0)</f>
        <v>0</v>
      </c>
      <c r="AB390" s="228" t="str">
        <f t="shared" ref="AB390:AB421" si="58">B390&amp;C390</f>
        <v>GoldPAMP S.A.</v>
      </c>
    </row>
    <row r="391" spans="1:28" s="227" customFormat="1" ht="27">
      <c r="A391" s="301" t="s">
        <v>712</v>
      </c>
      <c r="B391" s="293" t="s">
        <v>1119</v>
      </c>
      <c r="C391" s="294" t="s">
        <v>2296</v>
      </c>
      <c r="D391" s="295" t="s">
        <v>2296</v>
      </c>
      <c r="E391" s="293" t="s">
        <v>1088</v>
      </c>
      <c r="F391" s="293" t="s">
        <v>712</v>
      </c>
      <c r="G391" s="293" t="s">
        <v>13217</v>
      </c>
      <c r="H391" s="302" t="s">
        <v>15880</v>
      </c>
      <c r="I391" s="297" t="s">
        <v>16179</v>
      </c>
      <c r="J391" s="297" t="s">
        <v>1542</v>
      </c>
      <c r="K391" s="298" t="s">
        <v>16176</v>
      </c>
      <c r="L391" s="298" t="s">
        <v>16177</v>
      </c>
      <c r="M391" s="298" t="s">
        <v>15855</v>
      </c>
      <c r="N391" s="298" t="s">
        <v>16017</v>
      </c>
      <c r="O391" s="298" t="s">
        <v>16017</v>
      </c>
      <c r="P391" s="299" t="s">
        <v>15857</v>
      </c>
      <c r="Q391" s="300" t="s">
        <v>16018</v>
      </c>
      <c r="R391" s="182" t="str">
        <f ca="1">IF(ISERROR($V391),"",OFFSET('Smelter Look-up'!$C$4,$V391-4,0)&amp;"")</f>
        <v>MKS PAMP SA</v>
      </c>
      <c r="S391" s="181" t="str">
        <f t="shared" ca="1" si="56"/>
        <v>CH</v>
      </c>
      <c r="T391" s="181" t="str">
        <f ca="1">IF(B391="","",IF(ISERROR(MATCH($J391,SorP!$B$1:$B$6226,0)),"",INDIRECT("'SorP'!$A$"&amp;MATCH($S391&amp;$J391,SorP!C:C,0))))</f>
        <v>CH-TI</v>
      </c>
      <c r="U391" s="201"/>
      <c r="V391" s="226">
        <f>IF(C391="",NA(),IF(OR(C391="Smelter not listed",C391="Smelter not yet identified"),MATCH($B391&amp;$D391,'Smelter Look-up'!$J:$J,0),MATCH($B391&amp;$C391,'Smelter Look-up'!$J:$J,0)))</f>
        <v>214</v>
      </c>
      <c r="X391" s="227">
        <f t="shared" si="57"/>
        <v>0</v>
      </c>
      <c r="AB391" s="228" t="str">
        <f t="shared" si="58"/>
        <v>GoldPAMP S.A.</v>
      </c>
    </row>
    <row r="392" spans="1:28" s="227" customFormat="1" ht="27">
      <c r="A392" s="301" t="s">
        <v>712</v>
      </c>
      <c r="B392" s="293" t="s">
        <v>1119</v>
      </c>
      <c r="C392" s="294" t="s">
        <v>2296</v>
      </c>
      <c r="D392" s="295" t="s">
        <v>2296</v>
      </c>
      <c r="E392" s="293" t="s">
        <v>1088</v>
      </c>
      <c r="F392" s="293" t="s">
        <v>712</v>
      </c>
      <c r="G392" s="293" t="s">
        <v>13217</v>
      </c>
      <c r="H392" s="296" t="s">
        <v>16178</v>
      </c>
      <c r="I392" s="297" t="s">
        <v>16179</v>
      </c>
      <c r="J392" s="297" t="s">
        <v>1542</v>
      </c>
      <c r="K392" s="298" t="s">
        <v>16176</v>
      </c>
      <c r="L392" s="298" t="s">
        <v>16177</v>
      </c>
      <c r="M392" s="298" t="s">
        <v>15855</v>
      </c>
      <c r="N392" s="298" t="s">
        <v>16005</v>
      </c>
      <c r="O392" s="298" t="s">
        <v>1088</v>
      </c>
      <c r="P392" s="299" t="s">
        <v>15857</v>
      </c>
      <c r="Q392" s="300" t="s">
        <v>16006</v>
      </c>
      <c r="R392" s="182" t="str">
        <f ca="1">IF(ISERROR($V392),"",OFFSET('Smelter Look-up'!$C$4,$V392-4,0)&amp;"")</f>
        <v>MKS PAMP SA</v>
      </c>
      <c r="S392" s="181" t="str">
        <f t="shared" ca="1" si="56"/>
        <v>CH</v>
      </c>
      <c r="T392" s="181" t="str">
        <f ca="1">IF(B392="","",IF(ISERROR(MATCH($J392,SorP!$B$1:$B$6226,0)),"",INDIRECT("'SorP'!$A$"&amp;MATCH($S392&amp;$J392,SorP!C:C,0))))</f>
        <v>CH-TI</v>
      </c>
      <c r="U392" s="201"/>
      <c r="V392" s="226">
        <f>IF(C392="",NA(),IF(OR(C392="Smelter not listed",C392="Smelter not yet identified"),MATCH($B392&amp;$D392,'Smelter Look-up'!$J:$J,0),MATCH($B392&amp;$C392,'Smelter Look-up'!$J:$J,0)))</f>
        <v>214</v>
      </c>
      <c r="X392" s="227">
        <f t="shared" si="57"/>
        <v>0</v>
      </c>
      <c r="AB392" s="228" t="str">
        <f t="shared" si="58"/>
        <v>GoldPAMP S.A.</v>
      </c>
    </row>
    <row r="393" spans="1:28" s="227" customFormat="1" ht="40.5">
      <c r="A393" s="301" t="s">
        <v>2425</v>
      </c>
      <c r="B393" s="293" t="s">
        <v>1119</v>
      </c>
      <c r="C393" s="294" t="s">
        <v>2424</v>
      </c>
      <c r="D393" s="295" t="s">
        <v>2424</v>
      </c>
      <c r="E393" s="293" t="s">
        <v>2415</v>
      </c>
      <c r="F393" s="293" t="s">
        <v>2425</v>
      </c>
      <c r="G393" s="293" t="s">
        <v>13217</v>
      </c>
      <c r="H393" s="296" t="s">
        <v>15855</v>
      </c>
      <c r="I393" s="297" t="s">
        <v>1531</v>
      </c>
      <c r="J393" s="297" t="s">
        <v>1532</v>
      </c>
      <c r="K393" s="298" t="s">
        <v>15855</v>
      </c>
      <c r="L393" s="298" t="s">
        <v>15855</v>
      </c>
      <c r="M393" s="298" t="s">
        <v>15855</v>
      </c>
      <c r="N393" s="298" t="s">
        <v>15855</v>
      </c>
      <c r="O393" s="298" t="s">
        <v>15858</v>
      </c>
      <c r="P393" s="299" t="s">
        <v>15857</v>
      </c>
      <c r="Q393" s="300" t="s">
        <v>15855</v>
      </c>
      <c r="R393" s="182" t="str">
        <f ca="1">IF(ISERROR($V393),"",OFFSET('Smelter Look-up'!$C$4,$V393-4,0)&amp;"")</f>
        <v>Pease &amp; Curren</v>
      </c>
      <c r="S393" s="181" t="str">
        <f t="shared" ca="1" si="56"/>
        <v>US</v>
      </c>
      <c r="T393" s="181" t="str">
        <f ca="1">IF(B393="","",IF(ISERROR(MATCH($J393,SorP!$B$1:$B$6226,0)),"",INDIRECT("'SorP'!$A$"&amp;MATCH($S393&amp;$J393,SorP!C:C,0))))</f>
        <v>US-RI</v>
      </c>
      <c r="U393" s="201"/>
      <c r="V393" s="226">
        <f>IF(C393="",NA(),IF(OR(C393="Smelter not listed",C393="Smelter not yet identified"),MATCH($B393&amp;$D393,'Smelter Look-up'!$J:$J,0),MATCH($B393&amp;$C393,'Smelter Look-up'!$J:$J,0)))</f>
        <v>216</v>
      </c>
      <c r="X393" s="227">
        <f t="shared" si="57"/>
        <v>0</v>
      </c>
      <c r="AB393" s="228" t="str">
        <f t="shared" si="58"/>
        <v>GoldPease &amp; Curren</v>
      </c>
    </row>
    <row r="394" spans="1:28" s="227" customFormat="1" ht="81">
      <c r="A394" s="301" t="s">
        <v>713</v>
      </c>
      <c r="B394" s="293" t="s">
        <v>1119</v>
      </c>
      <c r="C394" s="294" t="s">
        <v>2140</v>
      </c>
      <c r="D394" s="295" t="s">
        <v>2140</v>
      </c>
      <c r="E394" s="293" t="s">
        <v>1090</v>
      </c>
      <c r="F394" s="293" t="s">
        <v>713</v>
      </c>
      <c r="G394" s="293" t="s">
        <v>13217</v>
      </c>
      <c r="H394" s="296" t="s">
        <v>15855</v>
      </c>
      <c r="I394" s="297" t="s">
        <v>2461</v>
      </c>
      <c r="J394" s="297" t="s">
        <v>13597</v>
      </c>
      <c r="K394" s="298" t="s">
        <v>15855</v>
      </c>
      <c r="L394" s="298" t="s">
        <v>15855</v>
      </c>
      <c r="M394" s="298" t="s">
        <v>15855</v>
      </c>
      <c r="N394" s="298" t="s">
        <v>15855</v>
      </c>
      <c r="O394" s="298" t="s">
        <v>15858</v>
      </c>
      <c r="P394" s="299" t="s">
        <v>15857</v>
      </c>
      <c r="Q394" s="300" t="s">
        <v>15855</v>
      </c>
      <c r="R394" s="182" t="str">
        <f ca="1">IF(ISERROR($V394),"",OFFSET('Smelter Look-up'!$C$4,$V394-4,0)&amp;"")</f>
        <v>Penglai Penggang Gold Industry Co., Ltd.</v>
      </c>
      <c r="S394" s="181" t="str">
        <f t="shared" ca="1" si="56"/>
        <v>CN</v>
      </c>
      <c r="T394" s="181" t="str">
        <f ca="1">IF(B394="","",IF(ISERROR(MATCH($J394,SorP!$B$1:$B$6226,0)),"",INDIRECT("'SorP'!$A$"&amp;MATCH($S394&amp;$J394,SorP!C:C,0))))</f>
        <v>CN-SD</v>
      </c>
      <c r="U394" s="201"/>
      <c r="V394" s="226">
        <f>IF(C394="",NA(),IF(OR(C394="Smelter not listed",C394="Smelter not yet identified"),MATCH($B394&amp;$D394,'Smelter Look-up'!$J:$J,0),MATCH($B394&amp;$C394,'Smelter Look-up'!$J:$J,0)))</f>
        <v>217</v>
      </c>
      <c r="X394" s="227">
        <f t="shared" si="57"/>
        <v>0</v>
      </c>
      <c r="AB394" s="228" t="str">
        <f t="shared" si="58"/>
        <v>GoldPenglai Penggang Gold Industry Co., Ltd.</v>
      </c>
    </row>
    <row r="395" spans="1:28" s="227" customFormat="1" ht="81">
      <c r="A395" s="301" t="s">
        <v>2497</v>
      </c>
      <c r="B395" s="293" t="s">
        <v>1119</v>
      </c>
      <c r="C395" s="294" t="s">
        <v>2496</v>
      </c>
      <c r="D395" s="295" t="s">
        <v>2496</v>
      </c>
      <c r="E395" s="293" t="s">
        <v>1089</v>
      </c>
      <c r="F395" s="293" t="s">
        <v>2497</v>
      </c>
      <c r="G395" s="293" t="s">
        <v>13217</v>
      </c>
      <c r="H395" s="296" t="s">
        <v>15855</v>
      </c>
      <c r="I395" s="297" t="s">
        <v>2498</v>
      </c>
      <c r="J395" s="297" t="s">
        <v>2499</v>
      </c>
      <c r="K395" s="298" t="s">
        <v>15855</v>
      </c>
      <c r="L395" s="298" t="s">
        <v>15855</v>
      </c>
      <c r="M395" s="298" t="s">
        <v>15855</v>
      </c>
      <c r="N395" s="298" t="s">
        <v>15855</v>
      </c>
      <c r="O395" s="298" t="s">
        <v>15855</v>
      </c>
      <c r="P395" s="299" t="s">
        <v>15857</v>
      </c>
      <c r="Q395" s="300" t="s">
        <v>15855</v>
      </c>
      <c r="R395" s="182" t="str">
        <f ca="1">IF(ISERROR($V395),"",OFFSET('Smelter Look-up'!$C$4,$V395-4,0)&amp;"")</f>
        <v>Planta Recuperadora de Metales SpA</v>
      </c>
      <c r="S395" s="181" t="str">
        <f t="shared" ca="1" si="56"/>
        <v>CL</v>
      </c>
      <c r="T395" s="181" t="str">
        <f ca="1">IF(B395="","",IF(ISERROR(MATCH($J395,SorP!$B$1:$B$6226,0)),"",INDIRECT("'SorP'!$A$"&amp;MATCH($S395&amp;$J395,SorP!C:C,0))))</f>
        <v>CL-AN</v>
      </c>
      <c r="U395" s="201"/>
      <c r="V395" s="226">
        <f>IF(C395="",NA(),IF(OR(C395="Smelter not listed",C395="Smelter not yet identified"),MATCH($B395&amp;$D395,'Smelter Look-up'!$J:$J,0),MATCH($B395&amp;$C395,'Smelter Look-up'!$J:$J,0)))</f>
        <v>220</v>
      </c>
      <c r="X395" s="227">
        <f t="shared" si="57"/>
        <v>0</v>
      </c>
      <c r="AB395" s="228" t="str">
        <f t="shared" si="58"/>
        <v>GoldPlanta Recuperadora de Metales SpA</v>
      </c>
    </row>
    <row r="396" spans="1:28" s="227" customFormat="1" ht="81">
      <c r="A396" s="301" t="s">
        <v>2497</v>
      </c>
      <c r="B396" s="293" t="s">
        <v>1119</v>
      </c>
      <c r="C396" s="294" t="s">
        <v>2496</v>
      </c>
      <c r="D396" s="295" t="s">
        <v>2496</v>
      </c>
      <c r="E396" s="293" t="s">
        <v>1089</v>
      </c>
      <c r="F396" s="293" t="s">
        <v>2497</v>
      </c>
      <c r="G396" s="293" t="s">
        <v>13217</v>
      </c>
      <c r="H396" s="296" t="s">
        <v>15855</v>
      </c>
      <c r="I396" s="297" t="s">
        <v>2498</v>
      </c>
      <c r="J396" s="297" t="s">
        <v>2499</v>
      </c>
      <c r="K396" s="298" t="s">
        <v>15855</v>
      </c>
      <c r="L396" s="298" t="s">
        <v>15855</v>
      </c>
      <c r="M396" s="298" t="s">
        <v>15855</v>
      </c>
      <c r="N396" s="298" t="s">
        <v>15855</v>
      </c>
      <c r="O396" s="298" t="s">
        <v>15858</v>
      </c>
      <c r="P396" s="299" t="s">
        <v>15857</v>
      </c>
      <c r="Q396" s="300" t="s">
        <v>15855</v>
      </c>
      <c r="R396" s="182" t="str">
        <f ca="1">IF(ISERROR($V396),"",OFFSET('Smelter Look-up'!$C$4,$V396-4,0)&amp;"")</f>
        <v>Planta Recuperadora de Metales SpA</v>
      </c>
      <c r="S396" s="181" t="str">
        <f t="shared" ca="1" si="56"/>
        <v>CL</v>
      </c>
      <c r="T396" s="181" t="str">
        <f ca="1">IF(B396="","",IF(ISERROR(MATCH($J396,SorP!$B$1:$B$6226,0)),"",INDIRECT("'SorP'!$A$"&amp;MATCH($S396&amp;$J396,SorP!C:C,0))))</f>
        <v>CL-AN</v>
      </c>
      <c r="U396" s="201"/>
      <c r="V396" s="226">
        <f>IF(C396="",NA(),IF(OR(C396="Smelter not listed",C396="Smelter not yet identified"),MATCH($B396&amp;$D396,'Smelter Look-up'!$J:$J,0),MATCH($B396&amp;$C396,'Smelter Look-up'!$J:$J,0)))</f>
        <v>220</v>
      </c>
      <c r="X396" s="227">
        <f t="shared" si="57"/>
        <v>0</v>
      </c>
      <c r="AB396" s="228" t="str">
        <f t="shared" si="58"/>
        <v>GoldPlanta Recuperadora de Metales SpA</v>
      </c>
    </row>
    <row r="397" spans="1:28" s="227" customFormat="1" ht="81">
      <c r="A397" s="301" t="s">
        <v>2497</v>
      </c>
      <c r="B397" s="293" t="s">
        <v>1119</v>
      </c>
      <c r="C397" s="294" t="s">
        <v>2496</v>
      </c>
      <c r="D397" s="295" t="s">
        <v>2496</v>
      </c>
      <c r="E397" s="293" t="s">
        <v>1089</v>
      </c>
      <c r="F397" s="293" t="s">
        <v>2497</v>
      </c>
      <c r="G397" s="293" t="s">
        <v>13217</v>
      </c>
      <c r="H397" s="296" t="s">
        <v>15855</v>
      </c>
      <c r="I397" s="297" t="s">
        <v>2498</v>
      </c>
      <c r="J397" s="297" t="s">
        <v>2499</v>
      </c>
      <c r="K397" s="298" t="s">
        <v>16207</v>
      </c>
      <c r="L397" s="298" t="s">
        <v>16208</v>
      </c>
      <c r="M397" s="298" t="s">
        <v>15869</v>
      </c>
      <c r="N397" s="298" t="s">
        <v>15862</v>
      </c>
      <c r="O397" s="298" t="s">
        <v>16209</v>
      </c>
      <c r="P397" s="299" t="s">
        <v>15857</v>
      </c>
      <c r="Q397" s="300" t="s">
        <v>15855</v>
      </c>
      <c r="R397" s="182" t="str">
        <f ca="1">IF(ISERROR($V397),"",OFFSET('Smelter Look-up'!$C$4,$V397-4,0)&amp;"")</f>
        <v>Planta Recuperadora de Metales SpA</v>
      </c>
      <c r="S397" s="181" t="str">
        <f t="shared" ca="1" si="56"/>
        <v>CL</v>
      </c>
      <c r="T397" s="181" t="str">
        <f ca="1">IF(B397="","",IF(ISERROR(MATCH($J397,SorP!$B$1:$B$6226,0)),"",INDIRECT("'SorP'!$A$"&amp;MATCH($S397&amp;$J397,SorP!C:C,0))))</f>
        <v>CL-AN</v>
      </c>
      <c r="U397" s="201"/>
      <c r="V397" s="226">
        <f>IF(C397="",NA(),IF(OR(C397="Smelter not listed",C397="Smelter not yet identified"),MATCH($B397&amp;$D397,'Smelter Look-up'!$J:$J,0),MATCH($B397&amp;$C397,'Smelter Look-up'!$J:$J,0)))</f>
        <v>220</v>
      </c>
      <c r="X397" s="227">
        <f t="shared" si="57"/>
        <v>0</v>
      </c>
      <c r="AB397" s="228" t="str">
        <f t="shared" si="58"/>
        <v>GoldPlanta Recuperadora de Metales SpA</v>
      </c>
    </row>
    <row r="398" spans="1:28" s="227" customFormat="1" ht="81">
      <c r="A398" s="301" t="s">
        <v>714</v>
      </c>
      <c r="B398" s="293" t="s">
        <v>1119</v>
      </c>
      <c r="C398" s="294" t="s">
        <v>902</v>
      </c>
      <c r="D398" s="295" t="s">
        <v>902</v>
      </c>
      <c r="E398" s="293" t="s">
        <v>873</v>
      </c>
      <c r="F398" s="293" t="s">
        <v>714</v>
      </c>
      <c r="G398" s="293" t="s">
        <v>13217</v>
      </c>
      <c r="H398" s="296" t="s">
        <v>15855</v>
      </c>
      <c r="I398" s="297" t="s">
        <v>1632</v>
      </c>
      <c r="J398" s="297" t="s">
        <v>9873</v>
      </c>
      <c r="K398" s="298" t="s">
        <v>15855</v>
      </c>
      <c r="L398" s="298" t="s">
        <v>15855</v>
      </c>
      <c r="M398" s="298" t="s">
        <v>15855</v>
      </c>
      <c r="N398" s="298" t="s">
        <v>15855</v>
      </c>
      <c r="O398" s="298" t="s">
        <v>15858</v>
      </c>
      <c r="P398" s="299" t="s">
        <v>15857</v>
      </c>
      <c r="Q398" s="300" t="s">
        <v>15855</v>
      </c>
      <c r="R398" s="182" t="str">
        <f ca="1">IF(ISERROR($V398),"",OFFSET('Smelter Look-up'!$C$4,$V398-4,0)&amp;"")</f>
        <v>Prioksky Plant of Non-Ferrous Metals</v>
      </c>
      <c r="S398" s="181" t="str">
        <f t="shared" ca="1" si="56"/>
        <v>RU</v>
      </c>
      <c r="T398" s="181" t="str">
        <f ca="1">IF(B398="","",IF(ISERROR(MATCH($J398,SorP!$B$1:$B$6226,0)),"",INDIRECT("'SorP'!$A$"&amp;MATCH($S398&amp;$J398,SorP!C:C,0))))</f>
        <v>RU-RYA</v>
      </c>
      <c r="U398" s="201"/>
      <c r="V398" s="226">
        <f>IF(C398="",NA(),IF(OR(C398="Smelter not listed",C398="Smelter not yet identified"),MATCH($B398&amp;$D398,'Smelter Look-up'!$J:$J,0),MATCH($B398&amp;$C398,'Smelter Look-up'!$J:$J,0)))</f>
        <v>221</v>
      </c>
      <c r="X398" s="227">
        <f t="shared" si="57"/>
        <v>0</v>
      </c>
      <c r="AB398" s="228" t="str">
        <f t="shared" si="58"/>
        <v>GoldPrioksky Plant of Non-Ferrous Metals</v>
      </c>
    </row>
    <row r="399" spans="1:28" s="227" customFormat="1" ht="67.5">
      <c r="A399" s="301" t="s">
        <v>715</v>
      </c>
      <c r="B399" s="293" t="s">
        <v>1119</v>
      </c>
      <c r="C399" s="294" t="s">
        <v>1220</v>
      </c>
      <c r="D399" s="295" t="s">
        <v>1220</v>
      </c>
      <c r="E399" s="293" t="s">
        <v>1095</v>
      </c>
      <c r="F399" s="293" t="s">
        <v>715</v>
      </c>
      <c r="G399" s="293" t="s">
        <v>13217</v>
      </c>
      <c r="H399" s="296" t="s">
        <v>15855</v>
      </c>
      <c r="I399" s="297" t="s">
        <v>1633</v>
      </c>
      <c r="J399" s="297" t="s">
        <v>5985</v>
      </c>
      <c r="K399" s="298" t="s">
        <v>15855</v>
      </c>
      <c r="L399" s="298" t="s">
        <v>15855</v>
      </c>
      <c r="M399" s="298" t="s">
        <v>15855</v>
      </c>
      <c r="N399" s="298" t="s">
        <v>15855</v>
      </c>
      <c r="O399" s="298" t="s">
        <v>15855</v>
      </c>
      <c r="P399" s="299" t="s">
        <v>15857</v>
      </c>
      <c r="Q399" s="300" t="s">
        <v>15855</v>
      </c>
      <c r="R399" s="182" t="str">
        <f ca="1">IF(ISERROR($V399),"",OFFSET('Smelter Look-up'!$C$4,$V399-4,0)&amp;"")</f>
        <v>PT Aneka Tambang (Persero) Tbk</v>
      </c>
      <c r="S399" s="181" t="str">
        <f t="shared" ca="1" si="56"/>
        <v>ID</v>
      </c>
      <c r="T399" s="181" t="str">
        <f ca="1">IF(B399="","",IF(ISERROR(MATCH($J399,SorP!$B$1:$B$6226,0)),"",INDIRECT("'SorP'!$A$"&amp;MATCH($S399&amp;$J399,SorP!C:C,0))))</f>
        <v>ID-JK</v>
      </c>
      <c r="U399" s="201"/>
      <c r="V399" s="226">
        <f>IF(C399="",NA(),IF(OR(C399="Smelter not listed",C399="Smelter not yet identified"),MATCH($B399&amp;$D399,'Smelter Look-up'!$J:$J,0),MATCH($B399&amp;$C399,'Smelter Look-up'!$J:$J,0)))</f>
        <v>223</v>
      </c>
      <c r="X399" s="227">
        <f t="shared" si="57"/>
        <v>0</v>
      </c>
      <c r="AB399" s="228" t="str">
        <f t="shared" si="58"/>
        <v>GoldPT Aneka Tambang (Persero) Tbk</v>
      </c>
    </row>
    <row r="400" spans="1:28" s="227" customFormat="1" ht="67.5">
      <c r="A400" s="301" t="s">
        <v>715</v>
      </c>
      <c r="B400" s="293" t="s">
        <v>1119</v>
      </c>
      <c r="C400" s="294" t="s">
        <v>1220</v>
      </c>
      <c r="D400" s="295" t="s">
        <v>1220</v>
      </c>
      <c r="E400" s="293" t="s">
        <v>1095</v>
      </c>
      <c r="F400" s="293" t="s">
        <v>715</v>
      </c>
      <c r="G400" s="293" t="s">
        <v>13217</v>
      </c>
      <c r="H400" s="296" t="s">
        <v>15855</v>
      </c>
      <c r="I400" s="297" t="s">
        <v>1633</v>
      </c>
      <c r="J400" s="297" t="s">
        <v>5985</v>
      </c>
      <c r="K400" s="298" t="s">
        <v>15855</v>
      </c>
      <c r="L400" s="298" t="s">
        <v>15855</v>
      </c>
      <c r="M400" s="298" t="s">
        <v>15855</v>
      </c>
      <c r="N400" s="298" t="s">
        <v>15855</v>
      </c>
      <c r="O400" s="298" t="s">
        <v>15858</v>
      </c>
      <c r="P400" s="299" t="s">
        <v>15857</v>
      </c>
      <c r="Q400" s="300" t="s">
        <v>15855</v>
      </c>
      <c r="R400" s="182" t="str">
        <f ca="1">IF(ISERROR($V400),"",OFFSET('Smelter Look-up'!$C$4,$V400-4,0)&amp;"")</f>
        <v>PT Aneka Tambang (Persero) Tbk</v>
      </c>
      <c r="S400" s="181" t="str">
        <f t="shared" ca="1" si="56"/>
        <v>ID</v>
      </c>
      <c r="T400" s="181" t="str">
        <f ca="1">IF(B400="","",IF(ISERROR(MATCH($J400,SorP!$B$1:$B$6226,0)),"",INDIRECT("'SorP'!$A$"&amp;MATCH($S400&amp;$J400,SorP!C:C,0))))</f>
        <v>ID-JK</v>
      </c>
      <c r="U400" s="201"/>
      <c r="V400" s="226">
        <f>IF(C400="",NA(),IF(OR(C400="Smelter not listed",C400="Smelter not yet identified"),MATCH($B400&amp;$D400,'Smelter Look-up'!$J:$J,0),MATCH($B400&amp;$C400,'Smelter Look-up'!$J:$J,0)))</f>
        <v>223</v>
      </c>
      <c r="X400" s="227">
        <f t="shared" si="57"/>
        <v>0</v>
      </c>
      <c r="AB400" s="228" t="str">
        <f t="shared" si="58"/>
        <v>GoldPT Aneka Tambang (Persero) Tbk</v>
      </c>
    </row>
    <row r="401" spans="1:28" s="227" customFormat="1" ht="67.5">
      <c r="A401" s="301" t="s">
        <v>715</v>
      </c>
      <c r="B401" s="293" t="s">
        <v>1119</v>
      </c>
      <c r="C401" s="294" t="s">
        <v>1220</v>
      </c>
      <c r="D401" s="295" t="s">
        <v>1220</v>
      </c>
      <c r="E401" s="293" t="s">
        <v>1095</v>
      </c>
      <c r="F401" s="293" t="s">
        <v>715</v>
      </c>
      <c r="G401" s="293" t="s">
        <v>13217</v>
      </c>
      <c r="H401" s="296" t="s">
        <v>15855</v>
      </c>
      <c r="I401" s="297" t="s">
        <v>1633</v>
      </c>
      <c r="J401" s="297" t="s">
        <v>5985</v>
      </c>
      <c r="K401" s="298" t="s">
        <v>16210</v>
      </c>
      <c r="L401" s="298" t="s">
        <v>16211</v>
      </c>
      <c r="M401" s="298" t="s">
        <v>16059</v>
      </c>
      <c r="N401" s="298" t="s">
        <v>15862</v>
      </c>
      <c r="O401" s="298" t="s">
        <v>15893</v>
      </c>
      <c r="P401" s="299" t="s">
        <v>15857</v>
      </c>
      <c r="Q401" s="300" t="s">
        <v>15855</v>
      </c>
      <c r="R401" s="182" t="str">
        <f ca="1">IF(ISERROR($V401),"",OFFSET('Smelter Look-up'!$C$4,$V401-4,0)&amp;"")</f>
        <v>PT Aneka Tambang (Persero) Tbk</v>
      </c>
      <c r="S401" s="181" t="str">
        <f t="shared" ca="1" si="56"/>
        <v>ID</v>
      </c>
      <c r="T401" s="181" t="str">
        <f ca="1">IF(B401="","",IF(ISERROR(MATCH($J401,SorP!$B$1:$B$6226,0)),"",INDIRECT("'SorP'!$A$"&amp;MATCH($S401&amp;$J401,SorP!C:C,0))))</f>
        <v>ID-JK</v>
      </c>
      <c r="U401" s="201"/>
      <c r="V401" s="226">
        <f>IF(C401="",NA(),IF(OR(C401="Smelter not listed",C401="Smelter not yet identified"),MATCH($B401&amp;$D401,'Smelter Look-up'!$J:$J,0),MATCH($B401&amp;$C401,'Smelter Look-up'!$J:$J,0)))</f>
        <v>223</v>
      </c>
      <c r="X401" s="227">
        <f t="shared" si="57"/>
        <v>0</v>
      </c>
      <c r="AB401" s="228" t="str">
        <f t="shared" si="58"/>
        <v>GoldPT Aneka Tambang (Persero) Tbk</v>
      </c>
    </row>
    <row r="402" spans="1:28" s="227" customFormat="1" ht="40.5">
      <c r="A402" s="301" t="s">
        <v>716</v>
      </c>
      <c r="B402" s="293" t="s">
        <v>1119</v>
      </c>
      <c r="C402" s="294" t="s">
        <v>12410</v>
      </c>
      <c r="D402" s="295" t="s">
        <v>12410</v>
      </c>
      <c r="E402" s="293" t="s">
        <v>1088</v>
      </c>
      <c r="F402" s="293" t="s">
        <v>716</v>
      </c>
      <c r="G402" s="293" t="s">
        <v>13217</v>
      </c>
      <c r="H402" s="296" t="s">
        <v>15855</v>
      </c>
      <c r="I402" s="297" t="s">
        <v>1634</v>
      </c>
      <c r="J402" s="297" t="s">
        <v>1615</v>
      </c>
      <c r="K402" s="298" t="s">
        <v>15855</v>
      </c>
      <c r="L402" s="298" t="s">
        <v>15855</v>
      </c>
      <c r="M402" s="298" t="s">
        <v>15855</v>
      </c>
      <c r="N402" s="298" t="s">
        <v>15855</v>
      </c>
      <c r="O402" s="298" t="s">
        <v>15855</v>
      </c>
      <c r="P402" s="299" t="s">
        <v>15857</v>
      </c>
      <c r="Q402" s="300" t="s">
        <v>15855</v>
      </c>
      <c r="R402" s="182" t="str">
        <f ca="1">IF(ISERROR($V402),"",OFFSET('Smelter Look-up'!$C$4,$V402-4,0)&amp;"")</f>
        <v>PX Precinox S.A.</v>
      </c>
      <c r="S402" s="181" t="str">
        <f t="shared" ca="1" si="56"/>
        <v>CH</v>
      </c>
      <c r="T402" s="181" t="str">
        <f ca="1">IF(B402="","",IF(ISERROR(MATCH($J402,SorP!$B$1:$B$6226,0)),"",INDIRECT("'SorP'!$A$"&amp;MATCH($S402&amp;$J402,SorP!C:C,0))))</f>
        <v>CH-NE</v>
      </c>
      <c r="U402" s="201"/>
      <c r="V402" s="226">
        <f>IF(C402="",NA(),IF(OR(C402="Smelter not listed",C402="Smelter not yet identified"),MATCH($B402&amp;$D402,'Smelter Look-up'!$J:$J,0),MATCH($B402&amp;$C402,'Smelter Look-up'!$J:$J,0)))</f>
        <v>224</v>
      </c>
      <c r="X402" s="227">
        <f t="shared" si="57"/>
        <v>0</v>
      </c>
      <c r="AB402" s="228" t="str">
        <f t="shared" si="58"/>
        <v>GoldPX Precinox S.A.</v>
      </c>
    </row>
    <row r="403" spans="1:28" s="227" customFormat="1" ht="40.5">
      <c r="A403" s="301" t="s">
        <v>716</v>
      </c>
      <c r="B403" s="293" t="s">
        <v>1119</v>
      </c>
      <c r="C403" s="294" t="s">
        <v>12410</v>
      </c>
      <c r="D403" s="295" t="s">
        <v>12410</v>
      </c>
      <c r="E403" s="293" t="s">
        <v>1088</v>
      </c>
      <c r="F403" s="293" t="s">
        <v>716</v>
      </c>
      <c r="G403" s="293" t="s">
        <v>13217</v>
      </c>
      <c r="H403" s="296" t="s">
        <v>15855</v>
      </c>
      <c r="I403" s="297" t="s">
        <v>1634</v>
      </c>
      <c r="J403" s="297" t="s">
        <v>1615</v>
      </c>
      <c r="K403" s="298" t="s">
        <v>15855</v>
      </c>
      <c r="L403" s="298" t="s">
        <v>15855</v>
      </c>
      <c r="M403" s="298" t="s">
        <v>15855</v>
      </c>
      <c r="N403" s="298" t="s">
        <v>15855</v>
      </c>
      <c r="O403" s="298" t="s">
        <v>15858</v>
      </c>
      <c r="P403" s="299" t="s">
        <v>15857</v>
      </c>
      <c r="Q403" s="300" t="s">
        <v>15855</v>
      </c>
      <c r="R403" s="182" t="str">
        <f ca="1">IF(ISERROR($V403),"",OFFSET('Smelter Look-up'!$C$4,$V403-4,0)&amp;"")</f>
        <v>PX Precinox S.A.</v>
      </c>
      <c r="S403" s="181" t="str">
        <f t="shared" ca="1" si="56"/>
        <v>CH</v>
      </c>
      <c r="T403" s="181" t="str">
        <f ca="1">IF(B403="","",IF(ISERROR(MATCH($J403,SorP!$B$1:$B$6226,0)),"",INDIRECT("'SorP'!$A$"&amp;MATCH($S403&amp;$J403,SorP!C:C,0))))</f>
        <v>CH-NE</v>
      </c>
      <c r="U403" s="201"/>
      <c r="V403" s="226">
        <f>IF(C403="",NA(),IF(OR(C403="Smelter not listed",C403="Smelter not yet identified"),MATCH($B403&amp;$D403,'Smelter Look-up'!$J:$J,0),MATCH($B403&amp;$C403,'Smelter Look-up'!$J:$J,0)))</f>
        <v>224</v>
      </c>
      <c r="X403" s="227">
        <f t="shared" si="57"/>
        <v>0</v>
      </c>
      <c r="AB403" s="228" t="str">
        <f t="shared" si="58"/>
        <v>GoldPX Precinox S.A.</v>
      </c>
    </row>
    <row r="404" spans="1:28" s="227" customFormat="1" ht="40.5">
      <c r="A404" s="301" t="s">
        <v>716</v>
      </c>
      <c r="B404" s="293" t="s">
        <v>1119</v>
      </c>
      <c r="C404" s="294" t="s">
        <v>12410</v>
      </c>
      <c r="D404" s="295" t="s">
        <v>12410</v>
      </c>
      <c r="E404" s="293" t="s">
        <v>1088</v>
      </c>
      <c r="F404" s="293" t="s">
        <v>716</v>
      </c>
      <c r="G404" s="293" t="s">
        <v>13217</v>
      </c>
      <c r="H404" s="296" t="s">
        <v>15855</v>
      </c>
      <c r="I404" s="297" t="s">
        <v>1634</v>
      </c>
      <c r="J404" s="297" t="s">
        <v>1615</v>
      </c>
      <c r="K404" s="298" t="s">
        <v>16212</v>
      </c>
      <c r="L404" s="298" t="s">
        <v>16213</v>
      </c>
      <c r="M404" s="298" t="s">
        <v>16214</v>
      </c>
      <c r="N404" s="298" t="s">
        <v>15862</v>
      </c>
      <c r="O404" s="298" t="s">
        <v>15893</v>
      </c>
      <c r="P404" s="299" t="s">
        <v>15857</v>
      </c>
      <c r="Q404" s="300" t="s">
        <v>15855</v>
      </c>
      <c r="R404" s="182" t="str">
        <f ca="1">IF(ISERROR($V404),"",OFFSET('Smelter Look-up'!$C$4,$V404-4,0)&amp;"")</f>
        <v>PX Precinox S.A.</v>
      </c>
      <c r="S404" s="181" t="str">
        <f t="shared" ca="1" si="56"/>
        <v>CH</v>
      </c>
      <c r="T404" s="181" t="str">
        <f ca="1">IF(B404="","",IF(ISERROR(MATCH($J404,SorP!$B$1:$B$6226,0)),"",INDIRECT("'SorP'!$A$"&amp;MATCH($S404&amp;$J404,SorP!C:C,0))))</f>
        <v>CH-NE</v>
      </c>
      <c r="U404" s="201"/>
      <c r="V404" s="226">
        <f>IF(C404="",NA(),IF(OR(C404="Smelter not listed",C404="Smelter not yet identified"),MATCH($B404&amp;$D404,'Smelter Look-up'!$J:$J,0),MATCH($B404&amp;$C404,'Smelter Look-up'!$J:$J,0)))</f>
        <v>224</v>
      </c>
      <c r="X404" s="227">
        <f t="shared" si="57"/>
        <v>0</v>
      </c>
      <c r="AB404" s="228" t="str">
        <f t="shared" si="58"/>
        <v>GoldPX Precinox S.A.</v>
      </c>
    </row>
    <row r="405" spans="1:28" s="227" customFormat="1" ht="40.5">
      <c r="A405" s="301" t="s">
        <v>13156</v>
      </c>
      <c r="B405" s="293" t="s">
        <v>1119</v>
      </c>
      <c r="C405" s="294" t="s">
        <v>13155</v>
      </c>
      <c r="D405" s="295" t="s">
        <v>13155</v>
      </c>
      <c r="E405" s="293" t="s">
        <v>2415</v>
      </c>
      <c r="F405" s="293" t="s">
        <v>13156</v>
      </c>
      <c r="G405" s="293" t="s">
        <v>13217</v>
      </c>
      <c r="H405" s="296" t="s">
        <v>15855</v>
      </c>
      <c r="I405" s="297" t="s">
        <v>13216</v>
      </c>
      <c r="J405" s="297" t="s">
        <v>1627</v>
      </c>
      <c r="K405" s="298" t="s">
        <v>15855</v>
      </c>
      <c r="L405" s="298" t="s">
        <v>15855</v>
      </c>
      <c r="M405" s="298" t="s">
        <v>15855</v>
      </c>
      <c r="N405" s="298" t="s">
        <v>15855</v>
      </c>
      <c r="O405" s="298" t="s">
        <v>15858</v>
      </c>
      <c r="P405" s="299" t="s">
        <v>15857</v>
      </c>
      <c r="Q405" s="300" t="s">
        <v>15855</v>
      </c>
      <c r="R405" s="182" t="str">
        <f ca="1">IF(ISERROR($V405),"",OFFSET('Smelter Look-up'!$C$4,$V405-4,0)&amp;"")</f>
        <v>QG Refining, LLC</v>
      </c>
      <c r="S405" s="181" t="str">
        <f t="shared" ca="1" si="56"/>
        <v>US</v>
      </c>
      <c r="T405" s="181" t="str">
        <f ca="1">IF(B405="","",IF(ISERROR(MATCH($J405,SorP!$B$1:$B$6226,0)),"",INDIRECT("'SorP'!$A$"&amp;MATCH($S405&amp;$J405,SorP!C:C,0))))</f>
        <v>US-OH</v>
      </c>
      <c r="U405" s="201"/>
      <c r="V405" s="226">
        <f>IF(C405="",NA(),IF(OR(C405="Smelter not listed",C405="Smelter not yet identified"),MATCH($B405&amp;$D405,'Smelter Look-up'!$J:$J,0),MATCH($B405&amp;$C405,'Smelter Look-up'!$J:$J,0)))</f>
        <v>226</v>
      </c>
      <c r="X405" s="227">
        <f t="shared" si="57"/>
        <v>0</v>
      </c>
      <c r="AB405" s="228" t="str">
        <f t="shared" si="58"/>
        <v>GoldQG Refining, LLC</v>
      </c>
    </row>
    <row r="406" spans="1:28" s="227" customFormat="1" ht="67.5">
      <c r="A406" s="301" t="s">
        <v>717</v>
      </c>
      <c r="B406" s="293" t="s">
        <v>1119</v>
      </c>
      <c r="C406" s="294" t="s">
        <v>2142</v>
      </c>
      <c r="D406" s="295" t="s">
        <v>2142</v>
      </c>
      <c r="E406" s="293" t="s">
        <v>883</v>
      </c>
      <c r="F406" s="293" t="s">
        <v>717</v>
      </c>
      <c r="G406" s="293" t="s">
        <v>13217</v>
      </c>
      <c r="H406" s="296" t="s">
        <v>15855</v>
      </c>
      <c r="I406" s="297" t="s">
        <v>1635</v>
      </c>
      <c r="J406" s="297" t="s">
        <v>1636</v>
      </c>
      <c r="K406" s="298" t="s">
        <v>15855</v>
      </c>
      <c r="L406" s="298" t="s">
        <v>15855</v>
      </c>
      <c r="M406" s="298" t="s">
        <v>15855</v>
      </c>
      <c r="N406" s="298" t="s">
        <v>15855</v>
      </c>
      <c r="O406" s="298" t="s">
        <v>15855</v>
      </c>
      <c r="P406" s="299" t="s">
        <v>15857</v>
      </c>
      <c r="Q406" s="300" t="s">
        <v>15855</v>
      </c>
      <c r="R406" s="182" t="str">
        <f ca="1">IF(ISERROR($V406),"",OFFSET('Smelter Look-up'!$C$4,$V406-4,0)&amp;"")</f>
        <v>Rand Refinery (Pty) Ltd.</v>
      </c>
      <c r="S406" s="181" t="str">
        <f t="shared" ca="1" si="56"/>
        <v>ZA</v>
      </c>
      <c r="T406" s="181" t="str">
        <f ca="1">IF(B406="","",IF(ISERROR(MATCH($J406,SorP!$B$1:$B$6226,0)),"",INDIRECT("'SorP'!$A$"&amp;MATCH($S406&amp;$J406,SorP!C:C,0))))</f>
        <v>ZA-GP</v>
      </c>
      <c r="U406" s="201"/>
      <c r="V406" s="226">
        <f>IF(C406="",NA(),IF(OR(C406="Smelter not listed",C406="Smelter not yet identified"),MATCH($B406&amp;$D406,'Smelter Look-up'!$J:$J,0),MATCH($B406&amp;$C406,'Smelter Look-up'!$J:$J,0)))</f>
        <v>227</v>
      </c>
      <c r="X406" s="227">
        <f t="shared" si="57"/>
        <v>0</v>
      </c>
      <c r="AB406" s="228" t="str">
        <f t="shared" si="58"/>
        <v>GoldRand Refinery (Pty) Ltd.</v>
      </c>
    </row>
    <row r="407" spans="1:28" s="227" customFormat="1" ht="67.5">
      <c r="A407" s="301" t="s">
        <v>717</v>
      </c>
      <c r="B407" s="293" t="s">
        <v>1119</v>
      </c>
      <c r="C407" s="294" t="s">
        <v>2142</v>
      </c>
      <c r="D407" s="295" t="s">
        <v>2142</v>
      </c>
      <c r="E407" s="293" t="s">
        <v>883</v>
      </c>
      <c r="F407" s="293" t="s">
        <v>717</v>
      </c>
      <c r="G407" s="293" t="s">
        <v>13217</v>
      </c>
      <c r="H407" s="296" t="s">
        <v>15855</v>
      </c>
      <c r="I407" s="297" t="s">
        <v>1635</v>
      </c>
      <c r="J407" s="297" t="s">
        <v>1636</v>
      </c>
      <c r="K407" s="298" t="s">
        <v>15855</v>
      </c>
      <c r="L407" s="298" t="s">
        <v>15855</v>
      </c>
      <c r="M407" s="298" t="s">
        <v>15855</v>
      </c>
      <c r="N407" s="298" t="s">
        <v>15855</v>
      </c>
      <c r="O407" s="298" t="s">
        <v>15858</v>
      </c>
      <c r="P407" s="299" t="s">
        <v>15857</v>
      </c>
      <c r="Q407" s="300" t="s">
        <v>15855</v>
      </c>
      <c r="R407" s="182" t="str">
        <f ca="1">IF(ISERROR($V407),"",OFFSET('Smelter Look-up'!$C$4,$V407-4,0)&amp;"")</f>
        <v>Rand Refinery (Pty) Ltd.</v>
      </c>
      <c r="S407" s="181" t="str">
        <f t="shared" ca="1" si="56"/>
        <v>ZA</v>
      </c>
      <c r="T407" s="181" t="str">
        <f ca="1">IF(B407="","",IF(ISERROR(MATCH($J407,SorP!$B$1:$B$6226,0)),"",INDIRECT("'SorP'!$A$"&amp;MATCH($S407&amp;$J407,SorP!C:C,0))))</f>
        <v>ZA-GP</v>
      </c>
      <c r="U407" s="201"/>
      <c r="V407" s="226">
        <f>IF(C407="",NA(),IF(OR(C407="Smelter not listed",C407="Smelter not yet identified"),MATCH($B407&amp;$D407,'Smelter Look-up'!$J:$J,0),MATCH($B407&amp;$C407,'Smelter Look-up'!$J:$J,0)))</f>
        <v>227</v>
      </c>
      <c r="X407" s="227">
        <f t="shared" si="57"/>
        <v>0</v>
      </c>
      <c r="AB407" s="228" t="str">
        <f t="shared" si="58"/>
        <v>GoldRand Refinery (Pty) Ltd.</v>
      </c>
    </row>
    <row r="408" spans="1:28" s="227" customFormat="1" ht="67.5">
      <c r="A408" s="301" t="s">
        <v>717</v>
      </c>
      <c r="B408" s="293" t="s">
        <v>1119</v>
      </c>
      <c r="C408" s="294" t="s">
        <v>2142</v>
      </c>
      <c r="D408" s="295" t="s">
        <v>2142</v>
      </c>
      <c r="E408" s="293" t="s">
        <v>883</v>
      </c>
      <c r="F408" s="293" t="s">
        <v>717</v>
      </c>
      <c r="G408" s="293" t="s">
        <v>13217</v>
      </c>
      <c r="H408" s="296" t="s">
        <v>15855</v>
      </c>
      <c r="I408" s="297" t="s">
        <v>1635</v>
      </c>
      <c r="J408" s="297" t="s">
        <v>1636</v>
      </c>
      <c r="K408" s="298" t="s">
        <v>16215</v>
      </c>
      <c r="L408" s="298" t="s">
        <v>16216</v>
      </c>
      <c r="M408" s="298" t="s">
        <v>16217</v>
      </c>
      <c r="N408" s="298" t="s">
        <v>15862</v>
      </c>
      <c r="O408" s="298" t="s">
        <v>15893</v>
      </c>
      <c r="P408" s="299" t="s">
        <v>15857</v>
      </c>
      <c r="Q408" s="300" t="s">
        <v>15855</v>
      </c>
      <c r="R408" s="182" t="str">
        <f ca="1">IF(ISERROR($V408),"",OFFSET('Smelter Look-up'!$C$4,$V408-4,0)&amp;"")</f>
        <v>Rand Refinery (Pty) Ltd.</v>
      </c>
      <c r="S408" s="181" t="str">
        <f t="shared" ca="1" si="56"/>
        <v>ZA</v>
      </c>
      <c r="T408" s="181" t="str">
        <f ca="1">IF(B408="","",IF(ISERROR(MATCH($J408,SorP!$B$1:$B$6226,0)),"",INDIRECT("'SorP'!$A$"&amp;MATCH($S408&amp;$J408,SorP!C:C,0))))</f>
        <v>ZA-GP</v>
      </c>
      <c r="U408" s="201"/>
      <c r="V408" s="226">
        <f>IF(C408="",NA(),IF(OR(C408="Smelter not listed",C408="Smelter not yet identified"),MATCH($B408&amp;$D408,'Smelter Look-up'!$J:$J,0),MATCH($B408&amp;$C408,'Smelter Look-up'!$J:$J,0)))</f>
        <v>227</v>
      </c>
      <c r="X408" s="227">
        <f t="shared" si="57"/>
        <v>0</v>
      </c>
      <c r="AB408" s="228" t="str">
        <f t="shared" si="58"/>
        <v>GoldRand Refinery (Pty) Ltd.</v>
      </c>
    </row>
    <row r="409" spans="1:28" s="227" customFormat="1" ht="67.5">
      <c r="A409" s="301" t="s">
        <v>717</v>
      </c>
      <c r="B409" s="293" t="s">
        <v>1119</v>
      </c>
      <c r="C409" s="294" t="s">
        <v>2142</v>
      </c>
      <c r="D409" s="295" t="s">
        <v>2142</v>
      </c>
      <c r="E409" s="293" t="s">
        <v>883</v>
      </c>
      <c r="F409" s="293" t="s">
        <v>717</v>
      </c>
      <c r="G409" s="293" t="s">
        <v>13217</v>
      </c>
      <c r="H409" s="302" t="s">
        <v>15880</v>
      </c>
      <c r="I409" s="297" t="s">
        <v>1635</v>
      </c>
      <c r="J409" s="297" t="s">
        <v>1636</v>
      </c>
      <c r="K409" s="298" t="s">
        <v>15855</v>
      </c>
      <c r="L409" s="298" t="s">
        <v>15855</v>
      </c>
      <c r="M409" s="298" t="s">
        <v>15855</v>
      </c>
      <c r="N409" s="298" t="s">
        <v>15855</v>
      </c>
      <c r="O409" s="298" t="s">
        <v>15855</v>
      </c>
      <c r="P409" s="299" t="s">
        <v>15857</v>
      </c>
      <c r="Q409" s="300" t="s">
        <v>15855</v>
      </c>
      <c r="R409" s="182" t="str">
        <f ca="1">IF(ISERROR($V409),"",OFFSET('Smelter Look-up'!$C$4,$V409-4,0)&amp;"")</f>
        <v>Rand Refinery (Pty) Ltd.</v>
      </c>
      <c r="S409" s="181" t="str">
        <f t="shared" ca="1" si="56"/>
        <v>ZA</v>
      </c>
      <c r="T409" s="181" t="str">
        <f ca="1">IF(B409="","",IF(ISERROR(MATCH($J409,SorP!$B$1:$B$6226,0)),"",INDIRECT("'SorP'!$A$"&amp;MATCH($S409&amp;$J409,SorP!C:C,0))))</f>
        <v>ZA-GP</v>
      </c>
      <c r="U409" s="201"/>
      <c r="V409" s="226">
        <f>IF(C409="",NA(),IF(OR(C409="Smelter not listed",C409="Smelter not yet identified"),MATCH($B409&amp;$D409,'Smelter Look-up'!$J:$J,0),MATCH($B409&amp;$C409,'Smelter Look-up'!$J:$J,0)))</f>
        <v>227</v>
      </c>
      <c r="X409" s="227">
        <f t="shared" si="57"/>
        <v>0</v>
      </c>
      <c r="AB409" s="228" t="str">
        <f t="shared" si="58"/>
        <v>GoldRand Refinery (Pty) Ltd.</v>
      </c>
    </row>
    <row r="410" spans="1:28" s="227" customFormat="1" ht="67.5">
      <c r="A410" s="301" t="s">
        <v>669</v>
      </c>
      <c r="B410" s="293" t="s">
        <v>1119</v>
      </c>
      <c r="C410" s="294" t="s">
        <v>12900</v>
      </c>
      <c r="D410" s="295" t="s">
        <v>12900</v>
      </c>
      <c r="E410" s="293" t="s">
        <v>1090</v>
      </c>
      <c r="F410" s="293" t="s">
        <v>669</v>
      </c>
      <c r="G410" s="293" t="s">
        <v>13217</v>
      </c>
      <c r="H410" s="296" t="s">
        <v>15855</v>
      </c>
      <c r="I410" s="297" t="s">
        <v>1575</v>
      </c>
      <c r="J410" s="297" t="s">
        <v>13607</v>
      </c>
      <c r="K410" s="298" t="s">
        <v>15855</v>
      </c>
      <c r="L410" s="298" t="s">
        <v>15855</v>
      </c>
      <c r="M410" s="298" t="s">
        <v>15855</v>
      </c>
      <c r="N410" s="298" t="s">
        <v>15855</v>
      </c>
      <c r="O410" s="298" t="s">
        <v>15858</v>
      </c>
      <c r="P410" s="299" t="s">
        <v>15857</v>
      </c>
      <c r="Q410" s="300" t="s">
        <v>15855</v>
      </c>
      <c r="R410" s="182" t="str">
        <f ca="1">IF(ISERROR($V410),"",OFFSET('Smelter Look-up'!$C$4,$V410-4,0)&amp;"")</f>
        <v>Refinery of Seemine Gold Co., Ltd.</v>
      </c>
      <c r="S410" s="181" t="str">
        <f t="shared" ca="1" si="56"/>
        <v>CN</v>
      </c>
      <c r="T410" s="181" t="str">
        <f ca="1">IF(B410="","",IF(ISERROR(MATCH($J410,SorP!$B$1:$B$6226,0)),"",INDIRECT("'SorP'!$A$"&amp;MATCH($S410&amp;$J410,SorP!C:C,0))))</f>
        <v>CN-GS</v>
      </c>
      <c r="U410" s="201"/>
      <c r="V410" s="226">
        <f>IF(C410="",NA(),IF(OR(C410="Smelter not listed",C410="Smelter not yet identified"),MATCH($B410&amp;$D410,'Smelter Look-up'!$J:$J,0),MATCH($B410&amp;$C410,'Smelter Look-up'!$J:$J,0)))</f>
        <v>229</v>
      </c>
      <c r="X410" s="227">
        <f t="shared" si="57"/>
        <v>0</v>
      </c>
      <c r="AB410" s="228" t="str">
        <f t="shared" si="58"/>
        <v>GoldRefinery of Seemine Gold Co., Ltd.</v>
      </c>
    </row>
    <row r="411" spans="1:28" s="227" customFormat="1" ht="40.5">
      <c r="A411" s="301" t="s">
        <v>2299</v>
      </c>
      <c r="B411" s="293" t="s">
        <v>1119</v>
      </c>
      <c r="C411" s="294" t="s">
        <v>13769</v>
      </c>
      <c r="D411" s="295" t="s">
        <v>13769</v>
      </c>
      <c r="E411" s="293" t="s">
        <v>1106</v>
      </c>
      <c r="F411" s="293" t="s">
        <v>2299</v>
      </c>
      <c r="G411" s="293" t="s">
        <v>13217</v>
      </c>
      <c r="H411" s="296" t="s">
        <v>15855</v>
      </c>
      <c r="I411" s="297" t="s">
        <v>2332</v>
      </c>
      <c r="J411" s="297" t="s">
        <v>8875</v>
      </c>
      <c r="K411" s="298" t="s">
        <v>15855</v>
      </c>
      <c r="L411" s="298" t="s">
        <v>15855</v>
      </c>
      <c r="M411" s="298" t="s">
        <v>15855</v>
      </c>
      <c r="N411" s="298" t="s">
        <v>15855</v>
      </c>
      <c r="O411" s="298" t="s">
        <v>15855</v>
      </c>
      <c r="P411" s="299" t="s">
        <v>15857</v>
      </c>
      <c r="Q411" s="300" t="s">
        <v>15855</v>
      </c>
      <c r="R411" s="182" t="str">
        <f ca="1">IF(ISERROR($V411),"",OFFSET('Smelter Look-up'!$C$4,$V411-4,0)&amp;"")</f>
        <v>REMONDIS PMR B.V.</v>
      </c>
      <c r="S411" s="181" t="str">
        <f t="shared" ca="1" si="56"/>
        <v>NL</v>
      </c>
      <c r="T411" s="181" t="str">
        <f ca="1">IF(B411="","",IF(ISERROR(MATCH($J411,SorP!$B$1:$B$6226,0)),"",INDIRECT("'SorP'!$A$"&amp;MATCH($S411&amp;$J411,SorP!C:C,0))))</f>
        <v>NL-NB</v>
      </c>
      <c r="U411" s="201"/>
      <c r="V411" s="226">
        <f>IF(C411="",NA(),IF(OR(C411="Smelter not listed",C411="Smelter not yet identified"),MATCH($B411&amp;$D411,'Smelter Look-up'!$J:$J,0),MATCH($B411&amp;$C411,'Smelter Look-up'!$J:$J,0)))</f>
        <v>231</v>
      </c>
      <c r="X411" s="227">
        <f t="shared" si="57"/>
        <v>0</v>
      </c>
      <c r="AB411" s="228" t="str">
        <f t="shared" si="58"/>
        <v>GoldREMONDIS PMR B.V.</v>
      </c>
    </row>
    <row r="412" spans="1:28" s="227" customFormat="1" ht="40.5">
      <c r="A412" s="301" t="s">
        <v>2299</v>
      </c>
      <c r="B412" s="293" t="s">
        <v>1119</v>
      </c>
      <c r="C412" s="294" t="s">
        <v>13769</v>
      </c>
      <c r="D412" s="295" t="s">
        <v>13769</v>
      </c>
      <c r="E412" s="293" t="s">
        <v>1106</v>
      </c>
      <c r="F412" s="293" t="s">
        <v>2299</v>
      </c>
      <c r="G412" s="293" t="s">
        <v>13217</v>
      </c>
      <c r="H412" s="296" t="s">
        <v>15855</v>
      </c>
      <c r="I412" s="297" t="s">
        <v>2332</v>
      </c>
      <c r="J412" s="297" t="s">
        <v>8875</v>
      </c>
      <c r="K412" s="298" t="s">
        <v>15855</v>
      </c>
      <c r="L412" s="298" t="s">
        <v>15855</v>
      </c>
      <c r="M412" s="298" t="s">
        <v>15855</v>
      </c>
      <c r="N412" s="298" t="s">
        <v>15855</v>
      </c>
      <c r="O412" s="298" t="s">
        <v>15925</v>
      </c>
      <c r="P412" s="299" t="s">
        <v>15857</v>
      </c>
      <c r="Q412" s="300" t="s">
        <v>15855</v>
      </c>
      <c r="R412" s="182" t="str">
        <f ca="1">IF(ISERROR($V412),"",OFFSET('Smelter Look-up'!$C$4,$V412-4,0)&amp;"")</f>
        <v>REMONDIS PMR B.V.</v>
      </c>
      <c r="S412" s="181" t="str">
        <f t="shared" ca="1" si="56"/>
        <v>NL</v>
      </c>
      <c r="T412" s="181" t="str">
        <f ca="1">IF(B412="","",IF(ISERROR(MATCH($J412,SorP!$B$1:$B$6226,0)),"",INDIRECT("'SorP'!$A$"&amp;MATCH($S412&amp;$J412,SorP!C:C,0))))</f>
        <v>NL-NB</v>
      </c>
      <c r="U412" s="201"/>
      <c r="V412" s="226">
        <f>IF(C412="",NA(),IF(OR(C412="Smelter not listed",C412="Smelter not yet identified"),MATCH($B412&amp;$D412,'Smelter Look-up'!$J:$J,0),MATCH($B412&amp;$C412,'Smelter Look-up'!$J:$J,0)))</f>
        <v>231</v>
      </c>
      <c r="X412" s="227">
        <f t="shared" si="57"/>
        <v>0</v>
      </c>
      <c r="AB412" s="228" t="str">
        <f t="shared" si="58"/>
        <v>GoldREMONDIS PMR B.V.</v>
      </c>
    </row>
    <row r="413" spans="1:28" s="227" customFormat="1" ht="40.5">
      <c r="A413" s="301" t="s">
        <v>2299</v>
      </c>
      <c r="B413" s="293" t="s">
        <v>1119</v>
      </c>
      <c r="C413" s="294" t="s">
        <v>13769</v>
      </c>
      <c r="D413" s="295" t="s">
        <v>13769</v>
      </c>
      <c r="E413" s="293" t="s">
        <v>1106</v>
      </c>
      <c r="F413" s="293" t="s">
        <v>2299</v>
      </c>
      <c r="G413" s="293" t="s">
        <v>13217</v>
      </c>
      <c r="H413" s="296" t="s">
        <v>15855</v>
      </c>
      <c r="I413" s="297" t="s">
        <v>2332</v>
      </c>
      <c r="J413" s="297" t="s">
        <v>8875</v>
      </c>
      <c r="K413" s="298" t="s">
        <v>16218</v>
      </c>
      <c r="L413" s="298" t="s">
        <v>16219</v>
      </c>
      <c r="M413" s="298" t="s">
        <v>15869</v>
      </c>
      <c r="N413" s="298" t="s">
        <v>15876</v>
      </c>
      <c r="O413" s="298" t="s">
        <v>15879</v>
      </c>
      <c r="P413" s="299" t="s">
        <v>15875</v>
      </c>
      <c r="Q413" s="300" t="s">
        <v>15855</v>
      </c>
      <c r="R413" s="182" t="str">
        <f ca="1">IF(ISERROR($V413),"",OFFSET('Smelter Look-up'!$C$4,$V413-4,0)&amp;"")</f>
        <v>REMONDIS PMR B.V.</v>
      </c>
      <c r="S413" s="181" t="str">
        <f t="shared" ca="1" si="56"/>
        <v>NL</v>
      </c>
      <c r="T413" s="181" t="str">
        <f ca="1">IF(B413="","",IF(ISERROR(MATCH($J413,SorP!$B$1:$B$6226,0)),"",INDIRECT("'SorP'!$A$"&amp;MATCH($S413&amp;$J413,SorP!C:C,0))))</f>
        <v>NL-NB</v>
      </c>
      <c r="U413" s="201"/>
      <c r="V413" s="226">
        <f>IF(C413="",NA(),IF(OR(C413="Smelter not listed",C413="Smelter not yet identified"),MATCH($B413&amp;$D413,'Smelter Look-up'!$J:$J,0),MATCH($B413&amp;$C413,'Smelter Look-up'!$J:$J,0)))</f>
        <v>231</v>
      </c>
      <c r="X413" s="227">
        <f t="shared" si="57"/>
        <v>0</v>
      </c>
      <c r="AB413" s="228" t="str">
        <f t="shared" si="58"/>
        <v>GoldREMONDIS PMR B.V.</v>
      </c>
    </row>
    <row r="414" spans="1:28" s="227" customFormat="1" ht="54">
      <c r="A414" s="301" t="s">
        <v>718</v>
      </c>
      <c r="B414" s="293" t="s">
        <v>1119</v>
      </c>
      <c r="C414" s="294" t="s">
        <v>903</v>
      </c>
      <c r="D414" s="295" t="s">
        <v>903</v>
      </c>
      <c r="E414" s="293" t="s">
        <v>1087</v>
      </c>
      <c r="F414" s="293" t="s">
        <v>718</v>
      </c>
      <c r="G414" s="293" t="s">
        <v>13217</v>
      </c>
      <c r="H414" s="296" t="s">
        <v>15855</v>
      </c>
      <c r="I414" s="297" t="s">
        <v>1637</v>
      </c>
      <c r="J414" s="297" t="s">
        <v>1595</v>
      </c>
      <c r="K414" s="298" t="s">
        <v>15855</v>
      </c>
      <c r="L414" s="298" t="s">
        <v>15855</v>
      </c>
      <c r="M414" s="298" t="s">
        <v>15855</v>
      </c>
      <c r="N414" s="298" t="s">
        <v>15855</v>
      </c>
      <c r="O414" s="298" t="s">
        <v>15855</v>
      </c>
      <c r="P414" s="299" t="s">
        <v>15857</v>
      </c>
      <c r="Q414" s="300" t="s">
        <v>15855</v>
      </c>
      <c r="R414" s="182" t="str">
        <f ca="1">IF(ISERROR($V414),"",OFFSET('Smelter Look-up'!$C$4,$V414-4,0)&amp;"")</f>
        <v>Royal Canadian Mint</v>
      </c>
      <c r="S414" s="181" t="str">
        <f t="shared" ca="1" si="56"/>
        <v>CA</v>
      </c>
      <c r="T414" s="181" t="str">
        <f ca="1">IF(B414="","",IF(ISERROR(MATCH($J414,SorP!$B$1:$B$6226,0)),"",INDIRECT("'SorP'!$A$"&amp;MATCH($S414&amp;$J414,SorP!C:C,0))))</f>
        <v>CA-ON</v>
      </c>
      <c r="U414" s="201"/>
      <c r="V414" s="226">
        <f>IF(C414="",NA(),IF(OR(C414="Smelter not listed",C414="Smelter not yet identified"),MATCH($B414&amp;$D414,'Smelter Look-up'!$J:$J,0),MATCH($B414&amp;$C414,'Smelter Look-up'!$J:$J,0)))</f>
        <v>232</v>
      </c>
      <c r="X414" s="227">
        <f t="shared" si="57"/>
        <v>0</v>
      </c>
      <c r="AB414" s="228" t="str">
        <f t="shared" si="58"/>
        <v>GoldRoyal Canadian Mint</v>
      </c>
    </row>
    <row r="415" spans="1:28" s="227" customFormat="1" ht="54">
      <c r="A415" s="301" t="s">
        <v>718</v>
      </c>
      <c r="B415" s="293" t="s">
        <v>1119</v>
      </c>
      <c r="C415" s="294" t="s">
        <v>903</v>
      </c>
      <c r="D415" s="295" t="s">
        <v>903</v>
      </c>
      <c r="E415" s="293" t="s">
        <v>1087</v>
      </c>
      <c r="F415" s="293" t="s">
        <v>718</v>
      </c>
      <c r="G415" s="293" t="s">
        <v>13217</v>
      </c>
      <c r="H415" s="296" t="s">
        <v>15855</v>
      </c>
      <c r="I415" s="297" t="s">
        <v>1637</v>
      </c>
      <c r="J415" s="297" t="s">
        <v>1595</v>
      </c>
      <c r="K415" s="298" t="s">
        <v>15855</v>
      </c>
      <c r="L415" s="298" t="s">
        <v>15855</v>
      </c>
      <c r="M415" s="298" t="s">
        <v>15855</v>
      </c>
      <c r="N415" s="298" t="s">
        <v>15855</v>
      </c>
      <c r="O415" s="298" t="s">
        <v>15855</v>
      </c>
      <c r="P415" s="299" t="s">
        <v>15875</v>
      </c>
      <c r="Q415" s="300" t="s">
        <v>15855</v>
      </c>
      <c r="R415" s="182" t="str">
        <f ca="1">IF(ISERROR($V415),"",OFFSET('Smelter Look-up'!$C$4,$V415-4,0)&amp;"")</f>
        <v>Royal Canadian Mint</v>
      </c>
      <c r="S415" s="181" t="str">
        <f t="shared" ca="1" si="56"/>
        <v>CA</v>
      </c>
      <c r="T415" s="181" t="str">
        <f ca="1">IF(B415="","",IF(ISERROR(MATCH($J415,SorP!$B$1:$B$6226,0)),"",INDIRECT("'SorP'!$A$"&amp;MATCH($S415&amp;$J415,SorP!C:C,0))))</f>
        <v>CA-ON</v>
      </c>
      <c r="U415" s="201"/>
      <c r="V415" s="226">
        <f>IF(C415="",NA(),IF(OR(C415="Smelter not listed",C415="Smelter not yet identified"),MATCH($B415&amp;$D415,'Smelter Look-up'!$J:$J,0),MATCH($B415&amp;$C415,'Smelter Look-up'!$J:$J,0)))</f>
        <v>232</v>
      </c>
      <c r="X415" s="227">
        <f t="shared" si="57"/>
        <v>0</v>
      </c>
      <c r="AB415" s="228" t="str">
        <f t="shared" si="58"/>
        <v>GoldRoyal Canadian Mint</v>
      </c>
    </row>
    <row r="416" spans="1:28" s="227" customFormat="1" ht="54">
      <c r="A416" s="301" t="s">
        <v>718</v>
      </c>
      <c r="B416" s="293" t="s">
        <v>1119</v>
      </c>
      <c r="C416" s="294" t="s">
        <v>903</v>
      </c>
      <c r="D416" s="295" t="s">
        <v>903</v>
      </c>
      <c r="E416" s="293" t="s">
        <v>1087</v>
      </c>
      <c r="F416" s="293" t="s">
        <v>718</v>
      </c>
      <c r="G416" s="293" t="s">
        <v>13217</v>
      </c>
      <c r="H416" s="296" t="s">
        <v>15855</v>
      </c>
      <c r="I416" s="297" t="s">
        <v>1637</v>
      </c>
      <c r="J416" s="297" t="s">
        <v>1595</v>
      </c>
      <c r="K416" s="298" t="s">
        <v>15855</v>
      </c>
      <c r="L416" s="298" t="s">
        <v>15855</v>
      </c>
      <c r="M416" s="298" t="s">
        <v>15855</v>
      </c>
      <c r="N416" s="298" t="s">
        <v>15855</v>
      </c>
      <c r="O416" s="298" t="s">
        <v>15858</v>
      </c>
      <c r="P416" s="299" t="s">
        <v>15857</v>
      </c>
      <c r="Q416" s="300" t="s">
        <v>15855</v>
      </c>
      <c r="R416" s="182" t="str">
        <f ca="1">IF(ISERROR($V416),"",OFFSET('Smelter Look-up'!$C$4,$V416-4,0)&amp;"")</f>
        <v>Royal Canadian Mint</v>
      </c>
      <c r="S416" s="181" t="str">
        <f t="shared" ca="1" si="56"/>
        <v>CA</v>
      </c>
      <c r="T416" s="181" t="str">
        <f ca="1">IF(B416="","",IF(ISERROR(MATCH($J416,SorP!$B$1:$B$6226,0)),"",INDIRECT("'SorP'!$A$"&amp;MATCH($S416&amp;$J416,SorP!C:C,0))))</f>
        <v>CA-ON</v>
      </c>
      <c r="U416" s="201"/>
      <c r="V416" s="226">
        <f>IF(C416="",NA(),IF(OR(C416="Smelter not listed",C416="Smelter not yet identified"),MATCH($B416&amp;$D416,'Smelter Look-up'!$J:$J,0),MATCH($B416&amp;$C416,'Smelter Look-up'!$J:$J,0)))</f>
        <v>232</v>
      </c>
      <c r="X416" s="227">
        <f t="shared" si="57"/>
        <v>0</v>
      </c>
      <c r="AB416" s="228" t="str">
        <f t="shared" si="58"/>
        <v>GoldRoyal Canadian Mint</v>
      </c>
    </row>
    <row r="417" spans="1:28" s="227" customFormat="1" ht="54">
      <c r="A417" s="301" t="s">
        <v>718</v>
      </c>
      <c r="B417" s="293" t="s">
        <v>1119</v>
      </c>
      <c r="C417" s="294" t="s">
        <v>903</v>
      </c>
      <c r="D417" s="295" t="s">
        <v>903</v>
      </c>
      <c r="E417" s="293" t="s">
        <v>1087</v>
      </c>
      <c r="F417" s="293" t="s">
        <v>718</v>
      </c>
      <c r="G417" s="293" t="s">
        <v>13217</v>
      </c>
      <c r="H417" s="296" t="s">
        <v>15855</v>
      </c>
      <c r="I417" s="297" t="s">
        <v>1637</v>
      </c>
      <c r="J417" s="297" t="s">
        <v>1595</v>
      </c>
      <c r="K417" s="298" t="s">
        <v>16220</v>
      </c>
      <c r="L417" s="298" t="s">
        <v>16221</v>
      </c>
      <c r="M417" s="298" t="s">
        <v>16222</v>
      </c>
      <c r="N417" s="298" t="s">
        <v>15862</v>
      </c>
      <c r="O417" s="298" t="s">
        <v>15893</v>
      </c>
      <c r="P417" s="299" t="s">
        <v>15857</v>
      </c>
      <c r="Q417" s="300" t="s">
        <v>15855</v>
      </c>
      <c r="R417" s="182" t="str">
        <f ca="1">IF(ISERROR($V417),"",OFFSET('Smelter Look-up'!$C$4,$V417-4,0)&amp;"")</f>
        <v>Royal Canadian Mint</v>
      </c>
      <c r="S417" s="181" t="str">
        <f t="shared" ca="1" si="56"/>
        <v>CA</v>
      </c>
      <c r="T417" s="181" t="str">
        <f ca="1">IF(B417="","",IF(ISERROR(MATCH($J417,SorP!$B$1:$B$6226,0)),"",INDIRECT("'SorP'!$A$"&amp;MATCH($S417&amp;$J417,SorP!C:C,0))))</f>
        <v>CA-ON</v>
      </c>
      <c r="U417" s="201"/>
      <c r="V417" s="226">
        <f>IF(C417="",NA(),IF(OR(C417="Smelter not listed",C417="Smelter not yet identified"),MATCH($B417&amp;$D417,'Smelter Look-up'!$J:$J,0),MATCH($B417&amp;$C417,'Smelter Look-up'!$J:$J,0)))</f>
        <v>232</v>
      </c>
      <c r="X417" s="227">
        <f t="shared" si="57"/>
        <v>0</v>
      </c>
      <c r="AB417" s="228" t="str">
        <f t="shared" si="58"/>
        <v>GoldRoyal Canadian Mint</v>
      </c>
    </row>
    <row r="418" spans="1:28" s="227" customFormat="1" ht="27">
      <c r="A418" s="301" t="s">
        <v>2242</v>
      </c>
      <c r="B418" s="293" t="s">
        <v>1119</v>
      </c>
      <c r="C418" s="294" t="s">
        <v>2241</v>
      </c>
      <c r="D418" s="295" t="s">
        <v>2241</v>
      </c>
      <c r="E418" s="293" t="s">
        <v>1094</v>
      </c>
      <c r="F418" s="293" t="s">
        <v>2242</v>
      </c>
      <c r="G418" s="293" t="s">
        <v>13217</v>
      </c>
      <c r="H418" s="296" t="s">
        <v>15855</v>
      </c>
      <c r="I418" s="297" t="s">
        <v>2243</v>
      </c>
      <c r="J418" s="297" t="s">
        <v>4865</v>
      </c>
      <c r="K418" s="298" t="s">
        <v>15855</v>
      </c>
      <c r="L418" s="298" t="s">
        <v>15855</v>
      </c>
      <c r="M418" s="298" t="s">
        <v>15855</v>
      </c>
      <c r="N418" s="298" t="s">
        <v>15855</v>
      </c>
      <c r="O418" s="298" t="s">
        <v>15855</v>
      </c>
      <c r="P418" s="299" t="s">
        <v>15857</v>
      </c>
      <c r="Q418" s="300" t="s">
        <v>15855</v>
      </c>
      <c r="R418" s="182" t="str">
        <f ca="1">IF(ISERROR($V418),"",OFFSET('Smelter Look-up'!$C$4,$V418-4,0)&amp;"")</f>
        <v>SAAMP</v>
      </c>
      <c r="S418" s="181" t="str">
        <f t="shared" ca="1" si="56"/>
        <v>FR</v>
      </c>
      <c r="T418" s="181" t="str">
        <f ca="1">IF(B418="","",IF(ISERROR(MATCH($J418,SorP!$B$1:$B$6226,0)),"",INDIRECT("'SorP'!$A$"&amp;MATCH($S418&amp;$J418,SorP!C:C,0))))</f>
        <v>FR-IDF</v>
      </c>
      <c r="U418" s="201"/>
      <c r="V418" s="226">
        <f>IF(C418="",NA(),IF(OR(C418="Smelter not listed",C418="Smelter not yet identified"),MATCH($B418&amp;$D418,'Smelter Look-up'!$J:$J,0),MATCH($B418&amp;$C418,'Smelter Look-up'!$J:$J,0)))</f>
        <v>233</v>
      </c>
      <c r="X418" s="227">
        <f t="shared" si="57"/>
        <v>0</v>
      </c>
      <c r="AB418" s="228" t="str">
        <f t="shared" si="58"/>
        <v>GoldSAAMP</v>
      </c>
    </row>
    <row r="419" spans="1:28" s="227" customFormat="1" ht="27">
      <c r="A419" s="301" t="s">
        <v>2242</v>
      </c>
      <c r="B419" s="293" t="s">
        <v>1119</v>
      </c>
      <c r="C419" s="294" t="s">
        <v>2241</v>
      </c>
      <c r="D419" s="295" t="s">
        <v>2241</v>
      </c>
      <c r="E419" s="293" t="s">
        <v>1094</v>
      </c>
      <c r="F419" s="293" t="s">
        <v>2242</v>
      </c>
      <c r="G419" s="293" t="s">
        <v>13217</v>
      </c>
      <c r="H419" s="296" t="s">
        <v>15855</v>
      </c>
      <c r="I419" s="297" t="s">
        <v>2243</v>
      </c>
      <c r="J419" s="297" t="s">
        <v>4865</v>
      </c>
      <c r="K419" s="298" t="s">
        <v>16223</v>
      </c>
      <c r="L419" s="298" t="s">
        <v>16224</v>
      </c>
      <c r="M419" s="298" t="s">
        <v>16225</v>
      </c>
      <c r="N419" s="298" t="s">
        <v>15862</v>
      </c>
      <c r="O419" s="298" t="s">
        <v>15855</v>
      </c>
      <c r="P419" s="299" t="s">
        <v>15857</v>
      </c>
      <c r="Q419" s="300" t="s">
        <v>15855</v>
      </c>
      <c r="R419" s="182" t="str">
        <f ca="1">IF(ISERROR($V419),"",OFFSET('Smelter Look-up'!$C$4,$V419-4,0)&amp;"")</f>
        <v>SAAMP</v>
      </c>
      <c r="S419" s="181" t="str">
        <f t="shared" ca="1" si="56"/>
        <v>FR</v>
      </c>
      <c r="T419" s="181" t="str">
        <f ca="1">IF(B419="","",IF(ISERROR(MATCH($J419,SorP!$B$1:$B$6226,0)),"",INDIRECT("'SorP'!$A$"&amp;MATCH($S419&amp;$J419,SorP!C:C,0))))</f>
        <v>FR-IDF</v>
      </c>
      <c r="U419" s="201"/>
      <c r="V419" s="226">
        <f>IF(C419="",NA(),IF(OR(C419="Smelter not listed",C419="Smelter not yet identified"),MATCH($B419&amp;$D419,'Smelter Look-up'!$J:$J,0),MATCH($B419&amp;$C419,'Smelter Look-up'!$J:$J,0)))</f>
        <v>233</v>
      </c>
      <c r="X419" s="227">
        <f t="shared" si="57"/>
        <v>0</v>
      </c>
      <c r="AB419" s="228" t="str">
        <f t="shared" si="58"/>
        <v>GoldSAAMP</v>
      </c>
    </row>
    <row r="420" spans="1:28" s="227" customFormat="1" ht="27">
      <c r="A420" s="301" t="s">
        <v>2242</v>
      </c>
      <c r="B420" s="293" t="s">
        <v>1119</v>
      </c>
      <c r="C420" s="294" t="s">
        <v>2241</v>
      </c>
      <c r="D420" s="295" t="s">
        <v>2241</v>
      </c>
      <c r="E420" s="293" t="s">
        <v>1094</v>
      </c>
      <c r="F420" s="293" t="s">
        <v>2242</v>
      </c>
      <c r="G420" s="293" t="s">
        <v>13217</v>
      </c>
      <c r="H420" s="296" t="s">
        <v>15855</v>
      </c>
      <c r="I420" s="297" t="s">
        <v>2243</v>
      </c>
      <c r="J420" s="297" t="s">
        <v>2243</v>
      </c>
      <c r="K420" s="298" t="s">
        <v>15855</v>
      </c>
      <c r="L420" s="298" t="s">
        <v>15855</v>
      </c>
      <c r="M420" s="298" t="s">
        <v>15855</v>
      </c>
      <c r="N420" s="298" t="s">
        <v>15855</v>
      </c>
      <c r="O420" s="298" t="s">
        <v>15858</v>
      </c>
      <c r="P420" s="299" t="s">
        <v>15857</v>
      </c>
      <c r="Q420" s="300" t="s">
        <v>15855</v>
      </c>
      <c r="R420" s="182" t="str">
        <f ca="1">IF(ISERROR($V420),"",OFFSET('Smelter Look-up'!$C$4,$V420-4,0)&amp;"")</f>
        <v>SAAMP</v>
      </c>
      <c r="S420" s="181" t="str">
        <f t="shared" ca="1" si="56"/>
        <v>FR</v>
      </c>
      <c r="T420" s="181" t="str">
        <f ca="1">IF(B420="","",IF(ISERROR(MATCH($J420,SorP!$B$1:$B$6226,0)),"",INDIRECT("'SorP'!$A$"&amp;MATCH($S420&amp;$J420,SorP!C:C,0))))</f>
        <v>FR-75</v>
      </c>
      <c r="U420" s="201"/>
      <c r="V420" s="226">
        <f>IF(C420="",NA(),IF(OR(C420="Smelter not listed",C420="Smelter not yet identified"),MATCH($B420&amp;$D420,'Smelter Look-up'!$J:$J,0),MATCH($B420&amp;$C420,'Smelter Look-up'!$J:$J,0)))</f>
        <v>233</v>
      </c>
      <c r="X420" s="227">
        <f t="shared" si="57"/>
        <v>0</v>
      </c>
      <c r="AB420" s="228" t="str">
        <f t="shared" si="58"/>
        <v>GoldSAAMP</v>
      </c>
    </row>
    <row r="421" spans="1:28" s="227" customFormat="1" ht="40.5">
      <c r="A421" s="301" t="s">
        <v>719</v>
      </c>
      <c r="B421" s="293" t="s">
        <v>1119</v>
      </c>
      <c r="C421" s="294" t="s">
        <v>1154</v>
      </c>
      <c r="D421" s="295" t="s">
        <v>1154</v>
      </c>
      <c r="E421" s="293" t="s">
        <v>2415</v>
      </c>
      <c r="F421" s="293" t="s">
        <v>719</v>
      </c>
      <c r="G421" s="293" t="s">
        <v>13217</v>
      </c>
      <c r="H421" s="296" t="s">
        <v>15855</v>
      </c>
      <c r="I421" s="297" t="s">
        <v>1638</v>
      </c>
      <c r="J421" s="297" t="s">
        <v>1639</v>
      </c>
      <c r="K421" s="298" t="s">
        <v>15855</v>
      </c>
      <c r="L421" s="298" t="s">
        <v>15855</v>
      </c>
      <c r="M421" s="298" t="s">
        <v>15855</v>
      </c>
      <c r="N421" s="298" t="s">
        <v>15855</v>
      </c>
      <c r="O421" s="298" t="s">
        <v>15858</v>
      </c>
      <c r="P421" s="299" t="s">
        <v>15857</v>
      </c>
      <c r="Q421" s="300" t="s">
        <v>15855</v>
      </c>
      <c r="R421" s="182" t="str">
        <f ca="1">IF(ISERROR($V421),"",OFFSET('Smelter Look-up'!$C$4,$V421-4,0)&amp;"")</f>
        <v>Sabin Metal Corp.</v>
      </c>
      <c r="S421" s="181" t="str">
        <f t="shared" ca="1" si="56"/>
        <v>US</v>
      </c>
      <c r="T421" s="181" t="str">
        <f ca="1">IF(B421="","",IF(ISERROR(MATCH($J421,SorP!$B$1:$B$6226,0)),"",INDIRECT("'SorP'!$A$"&amp;MATCH($S421&amp;$J421,SorP!C:C,0))))</f>
        <v>US-ND</v>
      </c>
      <c r="U421" s="201"/>
      <c r="V421" s="226">
        <f>IF(C421="",NA(),IF(OR(C421="Smelter not listed",C421="Smelter not yet identified"),MATCH($B421&amp;$D421,'Smelter Look-up'!$J:$J,0),MATCH($B421&amp;$C421,'Smelter Look-up'!$J:$J,0)))</f>
        <v>234</v>
      </c>
      <c r="X421" s="227">
        <f t="shared" si="57"/>
        <v>0</v>
      </c>
      <c r="AB421" s="228" t="str">
        <f t="shared" si="58"/>
        <v>GoldSabin Metal Corp.</v>
      </c>
    </row>
    <row r="422" spans="1:28" s="227" customFormat="1" ht="40.5">
      <c r="A422" s="301" t="s">
        <v>2501</v>
      </c>
      <c r="B422" s="293" t="s">
        <v>1119</v>
      </c>
      <c r="C422" s="294" t="s">
        <v>2500</v>
      </c>
      <c r="D422" s="295" t="s">
        <v>2500</v>
      </c>
      <c r="E422" s="293" t="s">
        <v>1097</v>
      </c>
      <c r="F422" s="293" t="s">
        <v>2501</v>
      </c>
      <c r="G422" s="293" t="s">
        <v>13217</v>
      </c>
      <c r="H422" s="296" t="s">
        <v>15855</v>
      </c>
      <c r="I422" s="297" t="s">
        <v>1562</v>
      </c>
      <c r="J422" s="297" t="s">
        <v>6448</v>
      </c>
      <c r="K422" s="298" t="s">
        <v>15855</v>
      </c>
      <c r="L422" s="298" t="s">
        <v>15855</v>
      </c>
      <c r="M422" s="298" t="s">
        <v>15855</v>
      </c>
      <c r="N422" s="298" t="s">
        <v>15855</v>
      </c>
      <c r="O422" s="298" t="s">
        <v>15855</v>
      </c>
      <c r="P422" s="299" t="s">
        <v>15857</v>
      </c>
      <c r="Q422" s="300" t="s">
        <v>15855</v>
      </c>
      <c r="R422" s="182" t="str">
        <f ca="1">IF(ISERROR($V422),"",OFFSET('Smelter Look-up'!$C$4,$V422-4,0)&amp;"")</f>
        <v>Safimet S.p.A</v>
      </c>
      <c r="S422" s="181" t="str">
        <f t="shared" ref="S422:S452" ca="1" si="59">IF(B422="","",IF(ISERROR(MATCH($E422,CL,0)),"Unknown",INDIRECT("'C'!$A$"&amp;MATCH($E422,CL,0)+1)))</f>
        <v>IT</v>
      </c>
      <c r="T422" s="181" t="str">
        <f ca="1">IF(B422="","",IF(ISERROR(MATCH($J422,SorP!$B$1:$B$6226,0)),"",INDIRECT("'SorP'!$A$"&amp;MATCH($S422&amp;$J422,SorP!C:C,0))))</f>
        <v>IT-52</v>
      </c>
      <c r="U422" s="201"/>
      <c r="V422" s="226">
        <f>IF(C422="",NA(),IF(OR(C422="Smelter not listed",C422="Smelter not yet identified"),MATCH($B422&amp;$D422,'Smelter Look-up'!$J:$J,0),MATCH($B422&amp;$C422,'Smelter Look-up'!$J:$J,0)))</f>
        <v>235</v>
      </c>
      <c r="X422" s="227">
        <f t="shared" ref="X422:X452" si="60">IF(AND(C422="Smelter not listed",OR(LEN(D422)=0,LEN(E422)=0)),1,0)</f>
        <v>0</v>
      </c>
      <c r="AB422" s="228" t="str">
        <f t="shared" ref="AB422:AB452" si="61">B422&amp;C422</f>
        <v>GoldSafimet S.p.A</v>
      </c>
    </row>
    <row r="423" spans="1:28" s="227" customFormat="1" ht="40.5">
      <c r="A423" s="301" t="s">
        <v>2501</v>
      </c>
      <c r="B423" s="293" t="s">
        <v>1119</v>
      </c>
      <c r="C423" s="294" t="s">
        <v>2500</v>
      </c>
      <c r="D423" s="295" t="s">
        <v>2500</v>
      </c>
      <c r="E423" s="293" t="s">
        <v>1097</v>
      </c>
      <c r="F423" s="293" t="s">
        <v>2501</v>
      </c>
      <c r="G423" s="293" t="s">
        <v>13217</v>
      </c>
      <c r="H423" s="296" t="s">
        <v>15855</v>
      </c>
      <c r="I423" s="297" t="s">
        <v>1562</v>
      </c>
      <c r="J423" s="297" t="s">
        <v>6448</v>
      </c>
      <c r="K423" s="298" t="s">
        <v>15855</v>
      </c>
      <c r="L423" s="298" t="s">
        <v>15855</v>
      </c>
      <c r="M423" s="298" t="s">
        <v>15855</v>
      </c>
      <c r="N423" s="298" t="s">
        <v>15855</v>
      </c>
      <c r="O423" s="298" t="s">
        <v>15858</v>
      </c>
      <c r="P423" s="299" t="s">
        <v>15857</v>
      </c>
      <c r="Q423" s="300" t="s">
        <v>15855</v>
      </c>
      <c r="R423" s="182" t="str">
        <f ca="1">IF(ISERROR($V423),"",OFFSET('Smelter Look-up'!$C$4,$V423-4,0)&amp;"")</f>
        <v>Safimet S.p.A</v>
      </c>
      <c r="S423" s="181" t="str">
        <f t="shared" ca="1" si="59"/>
        <v>IT</v>
      </c>
      <c r="T423" s="181" t="str">
        <f ca="1">IF(B423="","",IF(ISERROR(MATCH($J423,SorP!$B$1:$B$6226,0)),"",INDIRECT("'SorP'!$A$"&amp;MATCH($S423&amp;$J423,SorP!C:C,0))))</f>
        <v>IT-52</v>
      </c>
      <c r="U423" s="201"/>
      <c r="V423" s="226">
        <f>IF(C423="",NA(),IF(OR(C423="Smelter not listed",C423="Smelter not yet identified"),MATCH($B423&amp;$D423,'Smelter Look-up'!$J:$J,0),MATCH($B423&amp;$C423,'Smelter Look-up'!$J:$J,0)))</f>
        <v>235</v>
      </c>
      <c r="X423" s="227">
        <f t="shared" si="60"/>
        <v>0</v>
      </c>
      <c r="AB423" s="228" t="str">
        <f t="shared" si="61"/>
        <v>GoldSafimet S.p.A</v>
      </c>
    </row>
    <row r="424" spans="1:28" s="227" customFormat="1" ht="40.5">
      <c r="A424" s="301" t="s">
        <v>2501</v>
      </c>
      <c r="B424" s="293" t="s">
        <v>1119</v>
      </c>
      <c r="C424" s="294" t="s">
        <v>2500</v>
      </c>
      <c r="D424" s="295" t="s">
        <v>2500</v>
      </c>
      <c r="E424" s="293" t="s">
        <v>1097</v>
      </c>
      <c r="F424" s="293" t="s">
        <v>2501</v>
      </c>
      <c r="G424" s="293" t="s">
        <v>13217</v>
      </c>
      <c r="H424" s="296" t="s">
        <v>15855</v>
      </c>
      <c r="I424" s="297" t="s">
        <v>1562</v>
      </c>
      <c r="J424" s="297" t="s">
        <v>6448</v>
      </c>
      <c r="K424" s="298" t="s">
        <v>16226</v>
      </c>
      <c r="L424" s="298" t="s">
        <v>16227</v>
      </c>
      <c r="M424" s="298" t="s">
        <v>16228</v>
      </c>
      <c r="N424" s="298" t="s">
        <v>15862</v>
      </c>
      <c r="O424" s="298" t="s">
        <v>15855</v>
      </c>
      <c r="P424" s="299" t="s">
        <v>15857</v>
      </c>
      <c r="Q424" s="300" t="s">
        <v>15855</v>
      </c>
      <c r="R424" s="182" t="str">
        <f ca="1">IF(ISERROR($V424),"",OFFSET('Smelter Look-up'!$C$4,$V424-4,0)&amp;"")</f>
        <v>Safimet S.p.A</v>
      </c>
      <c r="S424" s="181" t="str">
        <f t="shared" ca="1" si="59"/>
        <v>IT</v>
      </c>
      <c r="T424" s="181" t="str">
        <f ca="1">IF(B424="","",IF(ISERROR(MATCH($J424,SorP!$B$1:$B$6226,0)),"",INDIRECT("'SorP'!$A$"&amp;MATCH($S424&amp;$J424,SorP!C:C,0))))</f>
        <v>IT-52</v>
      </c>
      <c r="U424" s="201"/>
      <c r="V424" s="226">
        <f>IF(C424="",NA(),IF(OR(C424="Smelter not listed",C424="Smelter not yet identified"),MATCH($B424&amp;$D424,'Smelter Look-up'!$J:$J,0),MATCH($B424&amp;$C424,'Smelter Look-up'!$J:$J,0)))</f>
        <v>235</v>
      </c>
      <c r="X424" s="227">
        <f t="shared" si="60"/>
        <v>0</v>
      </c>
      <c r="AB424" s="228" t="str">
        <f t="shared" si="61"/>
        <v>GoldSafimet S.p.A</v>
      </c>
    </row>
    <row r="425" spans="1:28" s="227" customFormat="1" ht="27">
      <c r="A425" s="301" t="s">
        <v>2301</v>
      </c>
      <c r="B425" s="293" t="s">
        <v>1119</v>
      </c>
      <c r="C425" s="294" t="s">
        <v>2300</v>
      </c>
      <c r="D425" s="295" t="s">
        <v>2300</v>
      </c>
      <c r="E425" s="293" t="s">
        <v>13474</v>
      </c>
      <c r="F425" s="293" t="s">
        <v>2301</v>
      </c>
      <c r="G425" s="293" t="s">
        <v>13217</v>
      </c>
      <c r="H425" s="296" t="s">
        <v>15855</v>
      </c>
      <c r="I425" s="297" t="s">
        <v>2302</v>
      </c>
      <c r="J425" s="297" t="s">
        <v>4133</v>
      </c>
      <c r="K425" s="298" t="s">
        <v>15855</v>
      </c>
      <c r="L425" s="298" t="s">
        <v>15855</v>
      </c>
      <c r="M425" s="298" t="s">
        <v>15855</v>
      </c>
      <c r="N425" s="298" t="s">
        <v>15855</v>
      </c>
      <c r="O425" s="298" t="s">
        <v>15855</v>
      </c>
      <c r="P425" s="299" t="s">
        <v>15857</v>
      </c>
      <c r="Q425" s="300" t="s">
        <v>15855</v>
      </c>
      <c r="R425" s="182" t="str">
        <f ca="1">IF(ISERROR($V425),"",OFFSET('Smelter Look-up'!$C$4,$V425-4,0)&amp;"")</f>
        <v>SAFINA A.S.</v>
      </c>
      <c r="S425" s="181" t="str">
        <f t="shared" ca="1" si="59"/>
        <v>CZ</v>
      </c>
      <c r="T425" s="181" t="str">
        <f ca="1">IF(B425="","",IF(ISERROR(MATCH($J425,SorP!$B$1:$B$6226,0)),"",INDIRECT("'SorP'!$A$"&amp;MATCH($S425&amp;$J425,SorP!C:C,0))))</f>
        <v>CZ-20A</v>
      </c>
      <c r="U425" s="201"/>
      <c r="V425" s="226">
        <f>IF(C425="",NA(),IF(OR(C425="Smelter not listed",C425="Smelter not yet identified"),MATCH($B425&amp;$D425,'Smelter Look-up'!$J:$J,0),MATCH($B425&amp;$C425,'Smelter Look-up'!$J:$J,0)))</f>
        <v>236</v>
      </c>
      <c r="X425" s="227">
        <f t="shared" si="60"/>
        <v>0</v>
      </c>
      <c r="AB425" s="228" t="str">
        <f t="shared" si="61"/>
        <v>GoldSAFINA A.S.</v>
      </c>
    </row>
    <row r="426" spans="1:28" s="227" customFormat="1" ht="27">
      <c r="A426" s="301" t="s">
        <v>2301</v>
      </c>
      <c r="B426" s="293" t="s">
        <v>1119</v>
      </c>
      <c r="C426" s="294" t="s">
        <v>2300</v>
      </c>
      <c r="D426" s="295" t="s">
        <v>2300</v>
      </c>
      <c r="E426" s="293" t="s">
        <v>13474</v>
      </c>
      <c r="F426" s="293" t="s">
        <v>2301</v>
      </c>
      <c r="G426" s="293" t="s">
        <v>13217</v>
      </c>
      <c r="H426" s="296" t="s">
        <v>15855</v>
      </c>
      <c r="I426" s="297" t="s">
        <v>2302</v>
      </c>
      <c r="J426" s="297" t="s">
        <v>4133</v>
      </c>
      <c r="K426" s="298" t="s">
        <v>15855</v>
      </c>
      <c r="L426" s="298" t="s">
        <v>15855</v>
      </c>
      <c r="M426" s="298" t="s">
        <v>15855</v>
      </c>
      <c r="N426" s="298" t="s">
        <v>15855</v>
      </c>
      <c r="O426" s="298" t="s">
        <v>15858</v>
      </c>
      <c r="P426" s="299" t="s">
        <v>15857</v>
      </c>
      <c r="Q426" s="300" t="s">
        <v>15855</v>
      </c>
      <c r="R426" s="182" t="str">
        <f ca="1">IF(ISERROR($V426),"",OFFSET('Smelter Look-up'!$C$4,$V426-4,0)&amp;"")</f>
        <v>SAFINA A.S.</v>
      </c>
      <c r="S426" s="181" t="str">
        <f t="shared" ca="1" si="59"/>
        <v>CZ</v>
      </c>
      <c r="T426" s="181" t="str">
        <f ca="1">IF(B426="","",IF(ISERROR(MATCH($J426,SorP!$B$1:$B$6226,0)),"",INDIRECT("'SorP'!$A$"&amp;MATCH($S426&amp;$J426,SorP!C:C,0))))</f>
        <v>CZ-20A</v>
      </c>
      <c r="U426" s="201"/>
      <c r="V426" s="226">
        <f>IF(C426="",NA(),IF(OR(C426="Smelter not listed",C426="Smelter not yet identified"),MATCH($B426&amp;$D426,'Smelter Look-up'!$J:$J,0),MATCH($B426&amp;$C426,'Smelter Look-up'!$J:$J,0)))</f>
        <v>236</v>
      </c>
      <c r="X426" s="227">
        <f t="shared" si="60"/>
        <v>0</v>
      </c>
      <c r="AB426" s="228" t="str">
        <f t="shared" si="61"/>
        <v>GoldSAFINA A.S.</v>
      </c>
    </row>
    <row r="427" spans="1:28" s="227" customFormat="1" ht="27">
      <c r="A427" s="301" t="s">
        <v>2301</v>
      </c>
      <c r="B427" s="293" t="s">
        <v>1119</v>
      </c>
      <c r="C427" s="294" t="s">
        <v>2300</v>
      </c>
      <c r="D427" s="295" t="s">
        <v>2300</v>
      </c>
      <c r="E427" s="293" t="s">
        <v>13474</v>
      </c>
      <c r="F427" s="293" t="s">
        <v>2301</v>
      </c>
      <c r="G427" s="293" t="s">
        <v>13217</v>
      </c>
      <c r="H427" s="296" t="s">
        <v>15855</v>
      </c>
      <c r="I427" s="297" t="s">
        <v>2302</v>
      </c>
      <c r="J427" s="297" t="s">
        <v>4133</v>
      </c>
      <c r="K427" s="298" t="s">
        <v>16229</v>
      </c>
      <c r="L427" s="298" t="s">
        <v>16230</v>
      </c>
      <c r="M427" s="298" t="s">
        <v>15869</v>
      </c>
      <c r="N427" s="298" t="s">
        <v>15870</v>
      </c>
      <c r="O427" s="298" t="s">
        <v>15879</v>
      </c>
      <c r="P427" s="299" t="s">
        <v>15875</v>
      </c>
      <c r="Q427" s="300" t="s">
        <v>15855</v>
      </c>
      <c r="R427" s="182" t="str">
        <f ca="1">IF(ISERROR($V427),"",OFFSET('Smelter Look-up'!$C$4,$V427-4,0)&amp;"")</f>
        <v>SAFINA A.S.</v>
      </c>
      <c r="S427" s="181" t="str">
        <f t="shared" ca="1" si="59"/>
        <v>CZ</v>
      </c>
      <c r="T427" s="181" t="str">
        <f ca="1">IF(B427="","",IF(ISERROR(MATCH($J427,SorP!$B$1:$B$6226,0)),"",INDIRECT("'SorP'!$A$"&amp;MATCH($S427&amp;$J427,SorP!C:C,0))))</f>
        <v>CZ-20A</v>
      </c>
      <c r="U427" s="201"/>
      <c r="V427" s="226">
        <f>IF(C427="",NA(),IF(OR(C427="Smelter not listed",C427="Smelter not yet identified"),MATCH($B427&amp;$D427,'Smelter Look-up'!$J:$J,0),MATCH($B427&amp;$C427,'Smelter Look-up'!$J:$J,0)))</f>
        <v>236</v>
      </c>
      <c r="X427" s="227">
        <f t="shared" si="60"/>
        <v>0</v>
      </c>
      <c r="AB427" s="228" t="str">
        <f t="shared" si="61"/>
        <v>GoldSAFINA A.S.</v>
      </c>
    </row>
    <row r="428" spans="1:28" s="227" customFormat="1" ht="27">
      <c r="A428" s="301" t="s">
        <v>2304</v>
      </c>
      <c r="B428" s="293" t="s">
        <v>1119</v>
      </c>
      <c r="C428" s="294" t="s">
        <v>2303</v>
      </c>
      <c r="D428" s="295" t="s">
        <v>2303</v>
      </c>
      <c r="E428" s="293" t="s">
        <v>1096</v>
      </c>
      <c r="F428" s="293" t="s">
        <v>2304</v>
      </c>
      <c r="G428" s="293" t="s">
        <v>13217</v>
      </c>
      <c r="H428" s="296" t="s">
        <v>15855</v>
      </c>
      <c r="I428" s="297" t="s">
        <v>2305</v>
      </c>
      <c r="J428" s="297" t="s">
        <v>15544</v>
      </c>
      <c r="K428" s="298" t="s">
        <v>15855</v>
      </c>
      <c r="L428" s="298" t="s">
        <v>15855</v>
      </c>
      <c r="M428" s="298" t="s">
        <v>15855</v>
      </c>
      <c r="N428" s="298" t="s">
        <v>15855</v>
      </c>
      <c r="O428" s="298" t="s">
        <v>15858</v>
      </c>
      <c r="P428" s="299" t="s">
        <v>15857</v>
      </c>
      <c r="Q428" s="300" t="s">
        <v>15855</v>
      </c>
      <c r="R428" s="182" t="str">
        <f ca="1">IF(ISERROR($V428),"",OFFSET('Smelter Look-up'!$C$4,$V428-4,0)&amp;"")</f>
        <v>Sai Refinery</v>
      </c>
      <c r="S428" s="181" t="str">
        <f t="shared" ca="1" si="59"/>
        <v>IN</v>
      </c>
      <c r="T428" s="181" t="str">
        <f ca="1">IF(B428="","",IF(ISERROR(MATCH($J428,SorP!$B$1:$B$6226,0)),"",INDIRECT("'SorP'!$A$"&amp;MATCH($S428&amp;$J428,SorP!C:C,0))))</f>
        <v>IN-HP</v>
      </c>
      <c r="U428" s="201"/>
      <c r="V428" s="226">
        <f>IF(C428="",NA(),IF(OR(C428="Smelter not listed",C428="Smelter not yet identified"),MATCH($B428&amp;$D428,'Smelter Look-up'!$J:$J,0),MATCH($B428&amp;$C428,'Smelter Look-up'!$J:$J,0)))</f>
        <v>238</v>
      </c>
      <c r="X428" s="227">
        <f t="shared" si="60"/>
        <v>0</v>
      </c>
      <c r="AB428" s="228" t="str">
        <f t="shared" si="61"/>
        <v>GoldSai Refinery</v>
      </c>
    </row>
    <row r="429" spans="1:28" s="227" customFormat="1" ht="54">
      <c r="A429" s="301" t="s">
        <v>1397</v>
      </c>
      <c r="B429" s="293" t="s">
        <v>1119</v>
      </c>
      <c r="C429" s="294" t="s">
        <v>1396</v>
      </c>
      <c r="D429" s="295" t="s">
        <v>1396</v>
      </c>
      <c r="E429" s="293" t="s">
        <v>1101</v>
      </c>
      <c r="F429" s="293" t="s">
        <v>1397</v>
      </c>
      <c r="G429" s="293" t="s">
        <v>13217</v>
      </c>
      <c r="H429" s="296" t="s">
        <v>15855</v>
      </c>
      <c r="I429" s="297" t="s">
        <v>1564</v>
      </c>
      <c r="J429" s="297" t="s">
        <v>12844</v>
      </c>
      <c r="K429" s="298" t="s">
        <v>15855</v>
      </c>
      <c r="L429" s="298" t="s">
        <v>15855</v>
      </c>
      <c r="M429" s="298" t="s">
        <v>15855</v>
      </c>
      <c r="N429" s="298" t="s">
        <v>15855</v>
      </c>
      <c r="O429" s="298" t="s">
        <v>15855</v>
      </c>
      <c r="P429" s="299" t="s">
        <v>15857</v>
      </c>
      <c r="Q429" s="300" t="s">
        <v>15855</v>
      </c>
      <c r="R429" s="182" t="str">
        <f ca="1">IF(ISERROR($V429),"",OFFSET('Smelter Look-up'!$C$4,$V429-4,0)&amp;"")</f>
        <v>Samduck Precious Metals</v>
      </c>
      <c r="S429" s="181" t="str">
        <f t="shared" ca="1" si="59"/>
        <v>KR</v>
      </c>
      <c r="T429" s="181" t="str">
        <f ca="1">IF(B429="","",IF(ISERROR(MATCH($J429,SorP!$B$1:$B$6226,0)),"",INDIRECT("'SorP'!$A$"&amp;MATCH($S429&amp;$J429,SorP!C:C,0))))</f>
        <v>KR-28</v>
      </c>
      <c r="U429" s="201"/>
      <c r="V429" s="226">
        <f>IF(C429="",NA(),IF(OR(C429="Smelter not listed",C429="Smelter not yet identified"),MATCH($B429&amp;$D429,'Smelter Look-up'!$J:$J,0),MATCH($B429&amp;$C429,'Smelter Look-up'!$J:$J,0)))</f>
        <v>241</v>
      </c>
      <c r="X429" s="227">
        <f t="shared" si="60"/>
        <v>0</v>
      </c>
      <c r="AB429" s="228" t="str">
        <f t="shared" si="61"/>
        <v>GoldSamduck Precious Metals</v>
      </c>
    </row>
    <row r="430" spans="1:28" s="227" customFormat="1" ht="54">
      <c r="A430" s="301" t="s">
        <v>1397</v>
      </c>
      <c r="B430" s="293" t="s">
        <v>1119</v>
      </c>
      <c r="C430" s="294" t="s">
        <v>1396</v>
      </c>
      <c r="D430" s="295" t="s">
        <v>1396</v>
      </c>
      <c r="E430" s="293" t="s">
        <v>1101</v>
      </c>
      <c r="F430" s="293" t="s">
        <v>1397</v>
      </c>
      <c r="G430" s="293" t="s">
        <v>13217</v>
      </c>
      <c r="H430" s="296" t="s">
        <v>15855</v>
      </c>
      <c r="I430" s="297" t="s">
        <v>1564</v>
      </c>
      <c r="J430" s="297" t="s">
        <v>12844</v>
      </c>
      <c r="K430" s="298" t="s">
        <v>15855</v>
      </c>
      <c r="L430" s="298" t="s">
        <v>15855</v>
      </c>
      <c r="M430" s="298" t="s">
        <v>15855</v>
      </c>
      <c r="N430" s="298" t="s">
        <v>15855</v>
      </c>
      <c r="O430" s="298" t="s">
        <v>15858</v>
      </c>
      <c r="P430" s="299" t="s">
        <v>15857</v>
      </c>
      <c r="Q430" s="300" t="s">
        <v>15855</v>
      </c>
      <c r="R430" s="182" t="str">
        <f ca="1">IF(ISERROR($V430),"",OFFSET('Smelter Look-up'!$C$4,$V430-4,0)&amp;"")</f>
        <v>Samduck Precious Metals</v>
      </c>
      <c r="S430" s="181" t="str">
        <f t="shared" ca="1" si="59"/>
        <v>KR</v>
      </c>
      <c r="T430" s="181" t="str">
        <f ca="1">IF(B430="","",IF(ISERROR(MATCH($J430,SorP!$B$1:$B$6226,0)),"",INDIRECT("'SorP'!$A$"&amp;MATCH($S430&amp;$J430,SorP!C:C,0))))</f>
        <v>KR-28</v>
      </c>
      <c r="U430" s="201"/>
      <c r="V430" s="226">
        <f>IF(C430="",NA(),IF(OR(C430="Smelter not listed",C430="Smelter not yet identified"),MATCH($B430&amp;$D430,'Smelter Look-up'!$J:$J,0),MATCH($B430&amp;$C430,'Smelter Look-up'!$J:$J,0)))</f>
        <v>241</v>
      </c>
      <c r="X430" s="227">
        <f t="shared" si="60"/>
        <v>0</v>
      </c>
      <c r="AB430" s="228" t="str">
        <f t="shared" si="61"/>
        <v>GoldSamduck Precious Metals</v>
      </c>
    </row>
    <row r="431" spans="1:28" s="227" customFormat="1" ht="54">
      <c r="A431" s="301" t="s">
        <v>1397</v>
      </c>
      <c r="B431" s="293" t="s">
        <v>1119</v>
      </c>
      <c r="C431" s="294" t="s">
        <v>1396</v>
      </c>
      <c r="D431" s="295" t="s">
        <v>1396</v>
      </c>
      <c r="E431" s="293" t="s">
        <v>1101</v>
      </c>
      <c r="F431" s="293" t="s">
        <v>1397</v>
      </c>
      <c r="G431" s="293" t="s">
        <v>13217</v>
      </c>
      <c r="H431" s="296" t="s">
        <v>15855</v>
      </c>
      <c r="I431" s="297" t="s">
        <v>1564</v>
      </c>
      <c r="J431" s="297" t="s">
        <v>12844</v>
      </c>
      <c r="K431" s="298" t="s">
        <v>16231</v>
      </c>
      <c r="L431" s="298" t="s">
        <v>16232</v>
      </c>
      <c r="M431" s="298" t="s">
        <v>16233</v>
      </c>
      <c r="N431" s="298" t="s">
        <v>15876</v>
      </c>
      <c r="O431" s="298" t="s">
        <v>15871</v>
      </c>
      <c r="P431" s="299" t="s">
        <v>15857</v>
      </c>
      <c r="Q431" s="300" t="s">
        <v>15855</v>
      </c>
      <c r="R431" s="182" t="str">
        <f ca="1">IF(ISERROR($V431),"",OFFSET('Smelter Look-up'!$C$4,$V431-4,0)&amp;"")</f>
        <v>Samduck Precious Metals</v>
      </c>
      <c r="S431" s="181" t="str">
        <f t="shared" ca="1" si="59"/>
        <v>KR</v>
      </c>
      <c r="T431" s="181" t="str">
        <f ca="1">IF(B431="","",IF(ISERROR(MATCH($J431,SorP!$B$1:$B$6226,0)),"",INDIRECT("'SorP'!$A$"&amp;MATCH($S431&amp;$J431,SorP!C:C,0))))</f>
        <v>KR-28</v>
      </c>
      <c r="U431" s="201"/>
      <c r="V431" s="226">
        <f>IF(C431="",NA(),IF(OR(C431="Smelter not listed",C431="Smelter not yet identified"),MATCH($B431&amp;$D431,'Smelter Look-up'!$J:$J,0),MATCH($B431&amp;$C431,'Smelter Look-up'!$J:$J,0)))</f>
        <v>241</v>
      </c>
      <c r="X431" s="227">
        <f t="shared" si="60"/>
        <v>0</v>
      </c>
      <c r="AB431" s="228" t="str">
        <f t="shared" si="61"/>
        <v>GoldSamduck Precious Metals</v>
      </c>
    </row>
    <row r="432" spans="1:28" s="227" customFormat="1" ht="54">
      <c r="A432" s="301" t="s">
        <v>720</v>
      </c>
      <c r="B432" s="293" t="s">
        <v>1119</v>
      </c>
      <c r="C432" s="294" t="s">
        <v>2426</v>
      </c>
      <c r="D432" s="295" t="s">
        <v>2426</v>
      </c>
      <c r="E432" s="293" t="s">
        <v>1101</v>
      </c>
      <c r="F432" s="293" t="s">
        <v>720</v>
      </c>
      <c r="G432" s="293" t="s">
        <v>13217</v>
      </c>
      <c r="H432" s="296" t="s">
        <v>15855</v>
      </c>
      <c r="I432" s="297" t="s">
        <v>1642</v>
      </c>
      <c r="J432" s="297" t="s">
        <v>12851</v>
      </c>
      <c r="K432" s="298" t="s">
        <v>15855</v>
      </c>
      <c r="L432" s="298" t="s">
        <v>15855</v>
      </c>
      <c r="M432" s="298" t="s">
        <v>15855</v>
      </c>
      <c r="N432" s="298" t="s">
        <v>15855</v>
      </c>
      <c r="O432" s="298" t="s">
        <v>15858</v>
      </c>
      <c r="P432" s="299" t="s">
        <v>15857</v>
      </c>
      <c r="Q432" s="300" t="s">
        <v>15855</v>
      </c>
      <c r="R432" s="182" t="str">
        <f ca="1">IF(ISERROR($V432),"",OFFSET('Smelter Look-up'!$C$4,$V432-4,0)&amp;"")</f>
        <v>Samwon Metals Corp.</v>
      </c>
      <c r="S432" s="181" t="str">
        <f t="shared" ca="1" si="59"/>
        <v>KR</v>
      </c>
      <c r="T432" s="181" t="str">
        <f ca="1">IF(B432="","",IF(ISERROR(MATCH($J432,SorP!$B$1:$B$6226,0)),"",INDIRECT("'SorP'!$A$"&amp;MATCH($S432&amp;$J432,SorP!C:C,0))))</f>
        <v>KR-48</v>
      </c>
      <c r="U432" s="201"/>
      <c r="V432" s="226">
        <f>IF(C432="",NA(),IF(OR(C432="Smelter not listed",C432="Smelter not yet identified"),MATCH($B432&amp;$D432,'Smelter Look-up'!$J:$J,0),MATCH($B432&amp;$C432,'Smelter Look-up'!$J:$J,0)))</f>
        <v>242</v>
      </c>
      <c r="X432" s="227">
        <f t="shared" si="60"/>
        <v>0</v>
      </c>
      <c r="AB432" s="228" t="str">
        <f t="shared" si="61"/>
        <v>GoldSamwon Metals Corp.</v>
      </c>
    </row>
    <row r="433" spans="1:28" s="227" customFormat="1" ht="67.5">
      <c r="A433" s="301" t="s">
        <v>721</v>
      </c>
      <c r="B433" s="293" t="s">
        <v>1119</v>
      </c>
      <c r="C433" s="294" t="s">
        <v>12411</v>
      </c>
      <c r="D433" s="295" t="s">
        <v>12411</v>
      </c>
      <c r="E433" s="293" t="s">
        <v>1092</v>
      </c>
      <c r="F433" s="293" t="s">
        <v>721</v>
      </c>
      <c r="G433" s="293" t="s">
        <v>13217</v>
      </c>
      <c r="H433" s="296" t="s">
        <v>15855</v>
      </c>
      <c r="I433" s="297" t="s">
        <v>1643</v>
      </c>
      <c r="J433" s="297" t="s">
        <v>4652</v>
      </c>
      <c r="K433" s="298" t="s">
        <v>15855</v>
      </c>
      <c r="L433" s="298" t="s">
        <v>15855</v>
      </c>
      <c r="M433" s="298" t="s">
        <v>15855</v>
      </c>
      <c r="N433" s="298" t="s">
        <v>15855</v>
      </c>
      <c r="O433" s="298" t="s">
        <v>15855</v>
      </c>
      <c r="P433" s="299" t="s">
        <v>15857</v>
      </c>
      <c r="Q433" s="300" t="s">
        <v>15855</v>
      </c>
      <c r="R433" s="182" t="str">
        <f ca="1">IF(ISERROR($V433),"",OFFSET('Smelter Look-up'!$C$4,$V433-4,0)&amp;"")</f>
        <v>SEMPSA Joyeria Plateria S.A.</v>
      </c>
      <c r="S433" s="181" t="str">
        <f t="shared" ca="1" si="59"/>
        <v>ES</v>
      </c>
      <c r="T433" s="181" t="str">
        <f ca="1">IF(B433="","",IF(ISERROR(MATCH($J433,SorP!$B$1:$B$6226,0)),"",INDIRECT("'SorP'!$A$"&amp;MATCH($S433&amp;$J433,SorP!C:C,0))))</f>
        <v>ES-MD</v>
      </c>
      <c r="U433" s="201"/>
      <c r="V433" s="226">
        <f>IF(C433="",NA(),IF(OR(C433="Smelter not listed",C433="Smelter not yet identified"),MATCH($B433&amp;$D433,'Smelter Look-up'!$J:$J,0),MATCH($B433&amp;$C433,'Smelter Look-up'!$J:$J,0)))</f>
        <v>244</v>
      </c>
      <c r="X433" s="227">
        <f t="shared" si="60"/>
        <v>0</v>
      </c>
      <c r="AB433" s="228" t="str">
        <f t="shared" si="61"/>
        <v>GoldSEMPSA Joyeria Plateria S.A.</v>
      </c>
    </row>
    <row r="434" spans="1:28" s="227" customFormat="1" ht="67.5">
      <c r="A434" s="301" t="s">
        <v>721</v>
      </c>
      <c r="B434" s="293" t="s">
        <v>1119</v>
      </c>
      <c r="C434" s="294" t="s">
        <v>12411</v>
      </c>
      <c r="D434" s="295" t="s">
        <v>12411</v>
      </c>
      <c r="E434" s="293" t="s">
        <v>1092</v>
      </c>
      <c r="F434" s="293" t="s">
        <v>721</v>
      </c>
      <c r="G434" s="293" t="s">
        <v>13217</v>
      </c>
      <c r="H434" s="296" t="s">
        <v>15855</v>
      </c>
      <c r="I434" s="297" t="s">
        <v>1643</v>
      </c>
      <c r="J434" s="297" t="s">
        <v>4652</v>
      </c>
      <c r="K434" s="298" t="s">
        <v>15855</v>
      </c>
      <c r="L434" s="298" t="s">
        <v>15855</v>
      </c>
      <c r="M434" s="298" t="s">
        <v>15855</v>
      </c>
      <c r="N434" s="298" t="s">
        <v>15855</v>
      </c>
      <c r="O434" s="298" t="s">
        <v>15858</v>
      </c>
      <c r="P434" s="299" t="s">
        <v>15857</v>
      </c>
      <c r="Q434" s="300" t="s">
        <v>15855</v>
      </c>
      <c r="R434" s="182" t="str">
        <f ca="1">IF(ISERROR($V434),"",OFFSET('Smelter Look-up'!$C$4,$V434-4,0)&amp;"")</f>
        <v>SEMPSA Joyeria Plateria S.A.</v>
      </c>
      <c r="S434" s="181" t="str">
        <f t="shared" ca="1" si="59"/>
        <v>ES</v>
      </c>
      <c r="T434" s="181" t="str">
        <f ca="1">IF(B434="","",IF(ISERROR(MATCH($J434,SorP!$B$1:$B$6226,0)),"",INDIRECT("'SorP'!$A$"&amp;MATCH($S434&amp;$J434,SorP!C:C,0))))</f>
        <v>ES-MD</v>
      </c>
      <c r="U434" s="201"/>
      <c r="V434" s="226">
        <f>IF(C434="",NA(),IF(OR(C434="Smelter not listed",C434="Smelter not yet identified"),MATCH($B434&amp;$D434,'Smelter Look-up'!$J:$J,0),MATCH($B434&amp;$C434,'Smelter Look-up'!$J:$J,0)))</f>
        <v>244</v>
      </c>
      <c r="X434" s="227">
        <f t="shared" si="60"/>
        <v>0</v>
      </c>
      <c r="AB434" s="228" t="str">
        <f t="shared" si="61"/>
        <v>GoldSEMPSA Joyeria Plateria S.A.</v>
      </c>
    </row>
    <row r="435" spans="1:28" s="227" customFormat="1" ht="67.5">
      <c r="A435" s="301" t="s">
        <v>721</v>
      </c>
      <c r="B435" s="293" t="s">
        <v>1119</v>
      </c>
      <c r="C435" s="294" t="s">
        <v>12411</v>
      </c>
      <c r="D435" s="295" t="s">
        <v>12411</v>
      </c>
      <c r="E435" s="293" t="s">
        <v>1092</v>
      </c>
      <c r="F435" s="293" t="s">
        <v>721</v>
      </c>
      <c r="G435" s="293" t="s">
        <v>13217</v>
      </c>
      <c r="H435" s="296" t="s">
        <v>15855</v>
      </c>
      <c r="I435" s="297" t="s">
        <v>1643</v>
      </c>
      <c r="J435" s="297" t="s">
        <v>4652</v>
      </c>
      <c r="K435" s="298" t="s">
        <v>16234</v>
      </c>
      <c r="L435" s="298" t="s">
        <v>16235</v>
      </c>
      <c r="M435" s="298" t="s">
        <v>16236</v>
      </c>
      <c r="N435" s="298" t="s">
        <v>15862</v>
      </c>
      <c r="O435" s="298" t="s">
        <v>15893</v>
      </c>
      <c r="P435" s="299" t="s">
        <v>15857</v>
      </c>
      <c r="Q435" s="300" t="s">
        <v>15855</v>
      </c>
      <c r="R435" s="182" t="str">
        <f ca="1">IF(ISERROR($V435),"",OFFSET('Smelter Look-up'!$C$4,$V435-4,0)&amp;"")</f>
        <v>SEMPSA Joyeria Plateria S.A.</v>
      </c>
      <c r="S435" s="181" t="str">
        <f t="shared" ca="1" si="59"/>
        <v>ES</v>
      </c>
      <c r="T435" s="181" t="str">
        <f ca="1">IF(B435="","",IF(ISERROR(MATCH($J435,SorP!$B$1:$B$6226,0)),"",INDIRECT("'SorP'!$A$"&amp;MATCH($S435&amp;$J435,SorP!C:C,0))))</f>
        <v>ES-MD</v>
      </c>
      <c r="U435" s="201"/>
      <c r="V435" s="226">
        <f>IF(C435="",NA(),IF(OR(C435="Smelter not listed",C435="Smelter not yet identified"),MATCH($B435&amp;$D435,'Smelter Look-up'!$J:$J,0),MATCH($B435&amp;$C435,'Smelter Look-up'!$J:$J,0)))</f>
        <v>244</v>
      </c>
      <c r="X435" s="227">
        <f t="shared" si="60"/>
        <v>0</v>
      </c>
      <c r="AB435" s="228" t="str">
        <f t="shared" si="61"/>
        <v>GoldSEMPSA Joyeria Plateria S.A.</v>
      </c>
    </row>
    <row r="436" spans="1:28" s="227" customFormat="1" ht="67.5">
      <c r="A436" s="301" t="s">
        <v>728</v>
      </c>
      <c r="B436" s="293" t="s">
        <v>1119</v>
      </c>
      <c r="C436" s="294" t="s">
        <v>15020</v>
      </c>
      <c r="D436" s="295" t="s">
        <v>15020</v>
      </c>
      <c r="E436" s="293" t="s">
        <v>1090</v>
      </c>
      <c r="F436" s="293" t="s">
        <v>728</v>
      </c>
      <c r="G436" s="293" t="s">
        <v>13217</v>
      </c>
      <c r="H436" s="296" t="s">
        <v>15855</v>
      </c>
      <c r="I436" s="297" t="s">
        <v>1647</v>
      </c>
      <c r="J436" s="297" t="s">
        <v>13597</v>
      </c>
      <c r="K436" s="298" t="s">
        <v>15855</v>
      </c>
      <c r="L436" s="298" t="s">
        <v>15855</v>
      </c>
      <c r="M436" s="298" t="s">
        <v>15855</v>
      </c>
      <c r="N436" s="298" t="s">
        <v>15855</v>
      </c>
      <c r="O436" s="298" t="s">
        <v>15855</v>
      </c>
      <c r="P436" s="299" t="s">
        <v>15857</v>
      </c>
      <c r="Q436" s="300" t="s">
        <v>15855</v>
      </c>
      <c r="R436" s="182" t="str">
        <f ca="1">IF(ISERROR($V436),"",OFFSET('Smelter Look-up'!$C$4,$V436-4,0)&amp;"")</f>
        <v>Shandong Gold Smelting Co., Ltd.</v>
      </c>
      <c r="S436" s="181" t="str">
        <f t="shared" ca="1" si="59"/>
        <v>CN</v>
      </c>
      <c r="T436" s="181" t="str">
        <f ca="1">IF(B436="","",IF(ISERROR(MATCH($J436,SorP!$B$1:$B$6226,0)),"",INDIRECT("'SorP'!$A$"&amp;MATCH($S436&amp;$J436,SorP!C:C,0))))</f>
        <v>CN-SD</v>
      </c>
      <c r="U436" s="201"/>
      <c r="V436" s="226">
        <f>IF(C436="",NA(),IF(OR(C436="Smelter not listed",C436="Smelter not yet identified"),MATCH($B436&amp;$D436,'Smelter Look-up'!$J:$J,0),MATCH($B436&amp;$C436,'Smelter Look-up'!$J:$J,0)))</f>
        <v>249</v>
      </c>
      <c r="X436" s="227">
        <f t="shared" si="60"/>
        <v>0</v>
      </c>
      <c r="AB436" s="228" t="str">
        <f t="shared" si="61"/>
        <v>GoldShandong Gold Smelting Co., Ltd.</v>
      </c>
    </row>
    <row r="437" spans="1:28" s="227" customFormat="1" ht="67.5">
      <c r="A437" s="301" t="s">
        <v>728</v>
      </c>
      <c r="B437" s="293" t="s">
        <v>1119</v>
      </c>
      <c r="C437" s="294" t="s">
        <v>15020</v>
      </c>
      <c r="D437" s="295" t="s">
        <v>15020</v>
      </c>
      <c r="E437" s="293" t="s">
        <v>1090</v>
      </c>
      <c r="F437" s="293" t="s">
        <v>728</v>
      </c>
      <c r="G437" s="293" t="s">
        <v>13217</v>
      </c>
      <c r="H437" s="296" t="s">
        <v>15855</v>
      </c>
      <c r="I437" s="297" t="s">
        <v>1647</v>
      </c>
      <c r="J437" s="297" t="s">
        <v>13597</v>
      </c>
      <c r="K437" s="298" t="s">
        <v>15855</v>
      </c>
      <c r="L437" s="298" t="s">
        <v>15855</v>
      </c>
      <c r="M437" s="298" t="s">
        <v>15855</v>
      </c>
      <c r="N437" s="298" t="s">
        <v>15855</v>
      </c>
      <c r="O437" s="298" t="s">
        <v>15855</v>
      </c>
      <c r="P437" s="299" t="s">
        <v>15875</v>
      </c>
      <c r="Q437" s="300" t="s">
        <v>15855</v>
      </c>
      <c r="R437" s="182" t="str">
        <f ca="1">IF(ISERROR($V437),"",OFFSET('Smelter Look-up'!$C$4,$V437-4,0)&amp;"")</f>
        <v>Shandong Gold Smelting Co., Ltd.</v>
      </c>
      <c r="S437" s="181" t="str">
        <f t="shared" ca="1" si="59"/>
        <v>CN</v>
      </c>
      <c r="T437" s="181" t="str">
        <f ca="1">IF(B437="","",IF(ISERROR(MATCH($J437,SorP!$B$1:$B$6226,0)),"",INDIRECT("'SorP'!$A$"&amp;MATCH($S437&amp;$J437,SorP!C:C,0))))</f>
        <v>CN-SD</v>
      </c>
      <c r="U437" s="201"/>
      <c r="V437" s="226">
        <f>IF(C437="",NA(),IF(OR(C437="Smelter not listed",C437="Smelter not yet identified"),MATCH($B437&amp;$D437,'Smelter Look-up'!$J:$J,0),MATCH($B437&amp;$C437,'Smelter Look-up'!$J:$J,0)))</f>
        <v>249</v>
      </c>
      <c r="X437" s="227">
        <f t="shared" si="60"/>
        <v>0</v>
      </c>
      <c r="AB437" s="228" t="str">
        <f t="shared" si="61"/>
        <v>GoldShandong Gold Smelting Co., Ltd.</v>
      </c>
    </row>
    <row r="438" spans="1:28" s="227" customFormat="1" ht="67.5">
      <c r="A438" s="301" t="s">
        <v>728</v>
      </c>
      <c r="B438" s="293" t="s">
        <v>1119</v>
      </c>
      <c r="C438" s="294" t="s">
        <v>15020</v>
      </c>
      <c r="D438" s="295" t="s">
        <v>15020</v>
      </c>
      <c r="E438" s="293" t="s">
        <v>1090</v>
      </c>
      <c r="F438" s="293" t="s">
        <v>728</v>
      </c>
      <c r="G438" s="293" t="s">
        <v>13217</v>
      </c>
      <c r="H438" s="296" t="s">
        <v>15855</v>
      </c>
      <c r="I438" s="297" t="s">
        <v>1647</v>
      </c>
      <c r="J438" s="297" t="s">
        <v>13597</v>
      </c>
      <c r="K438" s="298" t="s">
        <v>15855</v>
      </c>
      <c r="L438" s="298" t="s">
        <v>15855</v>
      </c>
      <c r="M438" s="298" t="s">
        <v>15855</v>
      </c>
      <c r="N438" s="298" t="s">
        <v>15855</v>
      </c>
      <c r="O438" s="298" t="s">
        <v>15989</v>
      </c>
      <c r="P438" s="299" t="s">
        <v>15857</v>
      </c>
      <c r="Q438" s="300" t="s">
        <v>16075</v>
      </c>
      <c r="R438" s="182" t="str">
        <f ca="1">IF(ISERROR($V438),"",OFFSET('Smelter Look-up'!$C$4,$V438-4,0)&amp;"")</f>
        <v>Shandong Gold Smelting Co., Ltd.</v>
      </c>
      <c r="S438" s="181" t="str">
        <f t="shared" ca="1" si="59"/>
        <v>CN</v>
      </c>
      <c r="T438" s="181" t="str">
        <f ca="1">IF(B438="","",IF(ISERROR(MATCH($J438,SorP!$B$1:$B$6226,0)),"",INDIRECT("'SorP'!$A$"&amp;MATCH($S438&amp;$J438,SorP!C:C,0))))</f>
        <v>CN-SD</v>
      </c>
      <c r="U438" s="201"/>
      <c r="V438" s="226">
        <f>IF(C438="",NA(),IF(OR(C438="Smelter not listed",C438="Smelter not yet identified"),MATCH($B438&amp;$D438,'Smelter Look-up'!$J:$J,0),MATCH($B438&amp;$C438,'Smelter Look-up'!$J:$J,0)))</f>
        <v>249</v>
      </c>
      <c r="X438" s="227">
        <f t="shared" si="60"/>
        <v>0</v>
      </c>
      <c r="AB438" s="228" t="str">
        <f t="shared" si="61"/>
        <v>GoldShandong Gold Smelting Co., Ltd.</v>
      </c>
    </row>
    <row r="439" spans="1:28" s="227" customFormat="1" ht="67.5">
      <c r="A439" s="301" t="s">
        <v>728</v>
      </c>
      <c r="B439" s="293" t="s">
        <v>1119</v>
      </c>
      <c r="C439" s="294" t="s">
        <v>15020</v>
      </c>
      <c r="D439" s="295" t="s">
        <v>15020</v>
      </c>
      <c r="E439" s="293" t="s">
        <v>1090</v>
      </c>
      <c r="F439" s="293" t="s">
        <v>728</v>
      </c>
      <c r="G439" s="293" t="s">
        <v>13217</v>
      </c>
      <c r="H439" s="296" t="s">
        <v>15855</v>
      </c>
      <c r="I439" s="297" t="s">
        <v>1647</v>
      </c>
      <c r="J439" s="297" t="s">
        <v>13597</v>
      </c>
      <c r="K439" s="298" t="s">
        <v>16237</v>
      </c>
      <c r="L439" s="298" t="s">
        <v>16238</v>
      </c>
      <c r="M439" s="298" t="s">
        <v>15993</v>
      </c>
      <c r="N439" s="298" t="s">
        <v>2146</v>
      </c>
      <c r="O439" s="298" t="s">
        <v>15994</v>
      </c>
      <c r="P439" s="299" t="s">
        <v>15857</v>
      </c>
      <c r="Q439" s="300" t="s">
        <v>15855</v>
      </c>
      <c r="R439" s="182" t="str">
        <f ca="1">IF(ISERROR($V439),"",OFFSET('Smelter Look-up'!$C$4,$V439-4,0)&amp;"")</f>
        <v>Shandong Gold Smelting Co., Ltd.</v>
      </c>
      <c r="S439" s="181" t="str">
        <f t="shared" ca="1" si="59"/>
        <v>CN</v>
      </c>
      <c r="T439" s="181" t="str">
        <f ca="1">IF(B439="","",IF(ISERROR(MATCH($J439,SorP!$B$1:$B$6226,0)),"",INDIRECT("'SorP'!$A$"&amp;MATCH($S439&amp;$J439,SorP!C:C,0))))</f>
        <v>CN-SD</v>
      </c>
      <c r="U439" s="201"/>
      <c r="V439" s="226">
        <f>IF(C439="",NA(),IF(OR(C439="Smelter not listed",C439="Smelter not yet identified"),MATCH($B439&amp;$D439,'Smelter Look-up'!$J:$J,0),MATCH($B439&amp;$C439,'Smelter Look-up'!$J:$J,0)))</f>
        <v>249</v>
      </c>
      <c r="X439" s="227">
        <f t="shared" si="60"/>
        <v>0</v>
      </c>
      <c r="AB439" s="228" t="str">
        <f t="shared" si="61"/>
        <v>GoldShandong Gold Smelting Co., Ltd.</v>
      </c>
    </row>
    <row r="440" spans="1:28" s="227" customFormat="1" ht="67.5">
      <c r="A440" s="301" t="s">
        <v>13771</v>
      </c>
      <c r="B440" s="293" t="s">
        <v>1119</v>
      </c>
      <c r="C440" s="294" t="s">
        <v>13770</v>
      </c>
      <c r="D440" s="295" t="s">
        <v>13770</v>
      </c>
      <c r="E440" s="293" t="s">
        <v>1090</v>
      </c>
      <c r="F440" s="293" t="s">
        <v>13771</v>
      </c>
      <c r="G440" s="293" t="s">
        <v>13217</v>
      </c>
      <c r="H440" s="296" t="s">
        <v>15855</v>
      </c>
      <c r="I440" s="297" t="s">
        <v>1647</v>
      </c>
      <c r="J440" s="297" t="s">
        <v>13597</v>
      </c>
      <c r="K440" s="298" t="s">
        <v>15855</v>
      </c>
      <c r="L440" s="298" t="s">
        <v>15855</v>
      </c>
      <c r="M440" s="298" t="s">
        <v>15855</v>
      </c>
      <c r="N440" s="298" t="s">
        <v>15855</v>
      </c>
      <c r="O440" s="298" t="s">
        <v>15858</v>
      </c>
      <c r="P440" s="299" t="s">
        <v>15857</v>
      </c>
      <c r="Q440" s="300" t="s">
        <v>15855</v>
      </c>
      <c r="R440" s="182" t="str">
        <f ca="1">IF(ISERROR($V440),"",OFFSET('Smelter Look-up'!$C$4,$V440-4,0)&amp;"")</f>
        <v>Shandong Humon Smelting Co., Ltd.</v>
      </c>
      <c r="S440" s="181" t="str">
        <f t="shared" ca="1" si="59"/>
        <v>CN</v>
      </c>
      <c r="T440" s="181" t="str">
        <f ca="1">IF(B440="","",IF(ISERROR(MATCH($J440,SorP!$B$1:$B$6226,0)),"",INDIRECT("'SorP'!$A$"&amp;MATCH($S440&amp;$J440,SorP!C:C,0))))</f>
        <v>CN-SD</v>
      </c>
      <c r="U440" s="201"/>
      <c r="V440" s="226">
        <f>IF(C440="",NA(),IF(OR(C440="Smelter not listed",C440="Smelter not yet identified"),MATCH($B440&amp;$D440,'Smelter Look-up'!$J:$J,0),MATCH($B440&amp;$C440,'Smelter Look-up'!$J:$J,0)))</f>
        <v>252</v>
      </c>
      <c r="X440" s="227">
        <f t="shared" si="60"/>
        <v>0</v>
      </c>
      <c r="AB440" s="228" t="str">
        <f t="shared" si="61"/>
        <v>GoldShandong Humon Smelting Co., Ltd.</v>
      </c>
    </row>
    <row r="441" spans="1:28" s="227" customFormat="1" ht="121.5">
      <c r="A441" s="301" t="s">
        <v>1646</v>
      </c>
      <c r="B441" s="293" t="s">
        <v>1119</v>
      </c>
      <c r="C441" s="294" t="s">
        <v>1645</v>
      </c>
      <c r="D441" s="295" t="s">
        <v>1645</v>
      </c>
      <c r="E441" s="293" t="s">
        <v>1090</v>
      </c>
      <c r="F441" s="293" t="s">
        <v>1646</v>
      </c>
      <c r="G441" s="293" t="s">
        <v>13217</v>
      </c>
      <c r="H441" s="296" t="s">
        <v>15855</v>
      </c>
      <c r="I441" s="297" t="s">
        <v>1647</v>
      </c>
      <c r="J441" s="297" t="s">
        <v>13597</v>
      </c>
      <c r="K441" s="298" t="s">
        <v>15855</v>
      </c>
      <c r="L441" s="298" t="s">
        <v>15855</v>
      </c>
      <c r="M441" s="298" t="s">
        <v>15855</v>
      </c>
      <c r="N441" s="298" t="s">
        <v>15855</v>
      </c>
      <c r="O441" s="298" t="s">
        <v>15858</v>
      </c>
      <c r="P441" s="299" t="s">
        <v>15857</v>
      </c>
      <c r="Q441" s="300" t="s">
        <v>15855</v>
      </c>
      <c r="R441" s="182" t="str">
        <f ca="1">IF(ISERROR($V441),"",OFFSET('Smelter Look-up'!$C$4,$V441-4,0)&amp;"")</f>
        <v>Shandong Tiancheng Biological Gold Industrial Co., Ltd.</v>
      </c>
      <c r="S441" s="181" t="str">
        <f t="shared" ca="1" si="59"/>
        <v>CN</v>
      </c>
      <c r="T441" s="181" t="str">
        <f ca="1">IF(B441="","",IF(ISERROR(MATCH($J441,SorP!$B$1:$B$6226,0)),"",INDIRECT("'SorP'!$A$"&amp;MATCH($S441&amp;$J441,SorP!C:C,0))))</f>
        <v>CN-SD</v>
      </c>
      <c r="U441" s="201"/>
      <c r="V441" s="226">
        <f>IF(C441="",NA(),IF(OR(C441="Smelter not listed",C441="Smelter not yet identified"),MATCH($B441&amp;$D441,'Smelter Look-up'!$J:$J,0),MATCH($B441&amp;$C441,'Smelter Look-up'!$J:$J,0)))</f>
        <v>255</v>
      </c>
      <c r="X441" s="227">
        <f t="shared" si="60"/>
        <v>0</v>
      </c>
      <c r="AB441" s="228" t="str">
        <f t="shared" si="61"/>
        <v>GoldShandong Tiancheng Biological Gold Industrial Co., Ltd.</v>
      </c>
    </row>
    <row r="442" spans="1:28" s="227" customFormat="1" ht="94.5">
      <c r="A442" s="301" t="s">
        <v>722</v>
      </c>
      <c r="B442" s="293" t="s">
        <v>1119</v>
      </c>
      <c r="C442" s="294" t="s">
        <v>2144</v>
      </c>
      <c r="D442" s="295" t="s">
        <v>2144</v>
      </c>
      <c r="E442" s="293" t="s">
        <v>1090</v>
      </c>
      <c r="F442" s="293" t="s">
        <v>722</v>
      </c>
      <c r="G442" s="293" t="s">
        <v>15865</v>
      </c>
      <c r="H442" s="296" t="s">
        <v>15855</v>
      </c>
      <c r="I442" s="297" t="s">
        <v>1578</v>
      </c>
      <c r="J442" s="297" t="s">
        <v>16239</v>
      </c>
      <c r="K442" s="298" t="s">
        <v>15855</v>
      </c>
      <c r="L442" s="298" t="s">
        <v>15855</v>
      </c>
      <c r="M442" s="298" t="s">
        <v>15855</v>
      </c>
      <c r="N442" s="298" t="s">
        <v>15855</v>
      </c>
      <c r="O442" s="298" t="s">
        <v>15855</v>
      </c>
      <c r="P442" s="299" t="s">
        <v>15857</v>
      </c>
      <c r="Q442" s="300" t="s">
        <v>15855</v>
      </c>
      <c r="R442" s="182" t="str">
        <f ca="1">IF(ISERROR($V442),"",OFFSET('Smelter Look-up'!$C$4,$V442-4,0)&amp;"")</f>
        <v>Shandong Zhaojin Gold &amp; Silver Refinery Co., Ltd.</v>
      </c>
      <c r="S442" s="181" t="str">
        <f t="shared" ca="1" si="59"/>
        <v>CN</v>
      </c>
      <c r="T442" s="181" t="str">
        <f ca="1">IF(B442="","",IF(ISERROR(MATCH($J442,SorP!$B$1:$B$6226,0)),"",INDIRECT("'SorP'!$A$"&amp;MATCH($S442&amp;$J442,SorP!C:C,0))))</f>
        <v/>
      </c>
      <c r="U442" s="201"/>
      <c r="V442" s="226">
        <f>IF(C442="",NA(),IF(OR(C442="Smelter not listed",C442="Smelter not yet identified"),MATCH($B442&amp;$D442,'Smelter Look-up'!$J:$J,0),MATCH($B442&amp;$C442,'Smelter Look-up'!$J:$J,0)))</f>
        <v>256</v>
      </c>
      <c r="X442" s="227">
        <f t="shared" si="60"/>
        <v>0</v>
      </c>
      <c r="AB442" s="228" t="str">
        <f t="shared" si="61"/>
        <v>GoldShandong Zhaojin Gold &amp; Silver Refinery Co., Ltd.</v>
      </c>
    </row>
    <row r="443" spans="1:28" s="227" customFormat="1" ht="94.5">
      <c r="A443" s="301" t="s">
        <v>722</v>
      </c>
      <c r="B443" s="293" t="s">
        <v>1119</v>
      </c>
      <c r="C443" s="294" t="s">
        <v>2144</v>
      </c>
      <c r="D443" s="295" t="s">
        <v>2144</v>
      </c>
      <c r="E443" s="293" t="s">
        <v>1090</v>
      </c>
      <c r="F443" s="293" t="s">
        <v>722</v>
      </c>
      <c r="G443" s="293" t="s">
        <v>13217</v>
      </c>
      <c r="H443" s="296" t="s">
        <v>15855</v>
      </c>
      <c r="I443" s="297" t="s">
        <v>1578</v>
      </c>
      <c r="J443" s="297" t="s">
        <v>13597</v>
      </c>
      <c r="K443" s="298" t="s">
        <v>15855</v>
      </c>
      <c r="L443" s="298" t="s">
        <v>15855</v>
      </c>
      <c r="M443" s="298" t="s">
        <v>15855</v>
      </c>
      <c r="N443" s="298" t="s">
        <v>15855</v>
      </c>
      <c r="O443" s="298" t="s">
        <v>15855</v>
      </c>
      <c r="P443" s="299" t="s">
        <v>15857</v>
      </c>
      <c r="Q443" s="300" t="s">
        <v>15855</v>
      </c>
      <c r="R443" s="182" t="str">
        <f ca="1">IF(ISERROR($V443),"",OFFSET('Smelter Look-up'!$C$4,$V443-4,0)&amp;"")</f>
        <v>Shandong Zhaojin Gold &amp; Silver Refinery Co., Ltd.</v>
      </c>
      <c r="S443" s="181" t="str">
        <f t="shared" ca="1" si="59"/>
        <v>CN</v>
      </c>
      <c r="T443" s="181" t="str">
        <f ca="1">IF(B443="","",IF(ISERROR(MATCH($J443,SorP!$B$1:$B$6226,0)),"",INDIRECT("'SorP'!$A$"&amp;MATCH($S443&amp;$J443,SorP!C:C,0))))</f>
        <v>CN-SD</v>
      </c>
      <c r="U443" s="201"/>
      <c r="V443" s="226">
        <f>IF(C443="",NA(),IF(OR(C443="Smelter not listed",C443="Smelter not yet identified"),MATCH($B443&amp;$D443,'Smelter Look-up'!$J:$J,0),MATCH($B443&amp;$C443,'Smelter Look-up'!$J:$J,0)))</f>
        <v>256</v>
      </c>
      <c r="X443" s="227">
        <f t="shared" si="60"/>
        <v>0</v>
      </c>
      <c r="AB443" s="228" t="str">
        <f t="shared" si="61"/>
        <v>GoldShandong Zhaojin Gold &amp; Silver Refinery Co., Ltd.</v>
      </c>
    </row>
    <row r="444" spans="1:28" s="227" customFormat="1" ht="94.5">
      <c r="A444" s="301" t="s">
        <v>722</v>
      </c>
      <c r="B444" s="293" t="s">
        <v>1119</v>
      </c>
      <c r="C444" s="294" t="s">
        <v>2144</v>
      </c>
      <c r="D444" s="295" t="s">
        <v>2144</v>
      </c>
      <c r="E444" s="293" t="s">
        <v>1090</v>
      </c>
      <c r="F444" s="293" t="s">
        <v>722</v>
      </c>
      <c r="G444" s="293" t="s">
        <v>13217</v>
      </c>
      <c r="H444" s="296" t="s">
        <v>15855</v>
      </c>
      <c r="I444" s="297" t="s">
        <v>1578</v>
      </c>
      <c r="J444" s="297" t="s">
        <v>13597</v>
      </c>
      <c r="K444" s="298" t="s">
        <v>15855</v>
      </c>
      <c r="L444" s="298" t="s">
        <v>15855</v>
      </c>
      <c r="M444" s="298" t="s">
        <v>15855</v>
      </c>
      <c r="N444" s="298" t="s">
        <v>15855</v>
      </c>
      <c r="O444" s="298" t="s">
        <v>15855</v>
      </c>
      <c r="P444" s="299" t="s">
        <v>15875</v>
      </c>
      <c r="Q444" s="300" t="s">
        <v>15855</v>
      </c>
      <c r="R444" s="182" t="str">
        <f ca="1">IF(ISERROR($V444),"",OFFSET('Smelter Look-up'!$C$4,$V444-4,0)&amp;"")</f>
        <v>Shandong Zhaojin Gold &amp; Silver Refinery Co., Ltd.</v>
      </c>
      <c r="S444" s="181" t="str">
        <f t="shared" ca="1" si="59"/>
        <v>CN</v>
      </c>
      <c r="T444" s="181" t="str">
        <f ca="1">IF(B444="","",IF(ISERROR(MATCH($J444,SorP!$B$1:$B$6226,0)),"",INDIRECT("'SorP'!$A$"&amp;MATCH($S444&amp;$J444,SorP!C:C,0))))</f>
        <v>CN-SD</v>
      </c>
      <c r="U444" s="201"/>
      <c r="V444" s="226">
        <f>IF(C444="",NA(),IF(OR(C444="Smelter not listed",C444="Smelter not yet identified"),MATCH($B444&amp;$D444,'Smelter Look-up'!$J:$J,0),MATCH($B444&amp;$C444,'Smelter Look-up'!$J:$J,0)))</f>
        <v>256</v>
      </c>
      <c r="X444" s="227">
        <f t="shared" si="60"/>
        <v>0</v>
      </c>
      <c r="AB444" s="228" t="str">
        <f t="shared" si="61"/>
        <v>GoldShandong Zhaojin Gold &amp; Silver Refinery Co., Ltd.</v>
      </c>
    </row>
    <row r="445" spans="1:28" s="227" customFormat="1" ht="94.5">
      <c r="A445" s="301" t="s">
        <v>722</v>
      </c>
      <c r="B445" s="293" t="s">
        <v>1119</v>
      </c>
      <c r="C445" s="294" t="s">
        <v>2144</v>
      </c>
      <c r="D445" s="295" t="s">
        <v>2144</v>
      </c>
      <c r="E445" s="293" t="s">
        <v>1090</v>
      </c>
      <c r="F445" s="293" t="s">
        <v>722</v>
      </c>
      <c r="G445" s="293" t="s">
        <v>13217</v>
      </c>
      <c r="H445" s="296" t="s">
        <v>15855</v>
      </c>
      <c r="I445" s="297" t="s">
        <v>1578</v>
      </c>
      <c r="J445" s="297" t="s">
        <v>13597</v>
      </c>
      <c r="K445" s="298" t="s">
        <v>15855</v>
      </c>
      <c r="L445" s="298" t="s">
        <v>15855</v>
      </c>
      <c r="M445" s="298" t="s">
        <v>15855</v>
      </c>
      <c r="N445" s="298" t="s">
        <v>15855</v>
      </c>
      <c r="O445" s="298" t="s">
        <v>15989</v>
      </c>
      <c r="P445" s="299" t="s">
        <v>15857</v>
      </c>
      <c r="Q445" s="300" t="s">
        <v>16075</v>
      </c>
      <c r="R445" s="182" t="str">
        <f ca="1">IF(ISERROR($V445),"",OFFSET('Smelter Look-up'!$C$4,$V445-4,0)&amp;"")</f>
        <v>Shandong Zhaojin Gold &amp; Silver Refinery Co., Ltd.</v>
      </c>
      <c r="S445" s="181" t="str">
        <f t="shared" ca="1" si="59"/>
        <v>CN</v>
      </c>
      <c r="T445" s="181" t="str">
        <f ca="1">IF(B445="","",IF(ISERROR(MATCH($J445,SorP!$B$1:$B$6226,0)),"",INDIRECT("'SorP'!$A$"&amp;MATCH($S445&amp;$J445,SorP!C:C,0))))</f>
        <v>CN-SD</v>
      </c>
      <c r="U445" s="201"/>
      <c r="V445" s="226">
        <f>IF(C445="",NA(),IF(OR(C445="Smelter not listed",C445="Smelter not yet identified"),MATCH($B445&amp;$D445,'Smelter Look-up'!$J:$J,0),MATCH($B445&amp;$C445,'Smelter Look-up'!$J:$J,0)))</f>
        <v>256</v>
      </c>
      <c r="X445" s="227">
        <f t="shared" si="60"/>
        <v>0</v>
      </c>
      <c r="AB445" s="228" t="str">
        <f t="shared" si="61"/>
        <v>GoldShandong Zhaojin Gold &amp; Silver Refinery Co., Ltd.</v>
      </c>
    </row>
    <row r="446" spans="1:28" s="227" customFormat="1" ht="94.5">
      <c r="A446" s="301" t="s">
        <v>722</v>
      </c>
      <c r="B446" s="293" t="s">
        <v>1119</v>
      </c>
      <c r="C446" s="294" t="s">
        <v>2144</v>
      </c>
      <c r="D446" s="295" t="s">
        <v>2144</v>
      </c>
      <c r="E446" s="293" t="s">
        <v>1090</v>
      </c>
      <c r="F446" s="293" t="s">
        <v>722</v>
      </c>
      <c r="G446" s="293" t="s">
        <v>13217</v>
      </c>
      <c r="H446" s="296" t="s">
        <v>15855</v>
      </c>
      <c r="I446" s="297" t="s">
        <v>1578</v>
      </c>
      <c r="J446" s="297" t="s">
        <v>13597</v>
      </c>
      <c r="K446" s="298" t="s">
        <v>15855</v>
      </c>
      <c r="L446" s="298" t="s">
        <v>15855</v>
      </c>
      <c r="M446" s="298" t="s">
        <v>15855</v>
      </c>
      <c r="N446" s="298" t="s">
        <v>15855</v>
      </c>
      <c r="O446" s="298" t="s">
        <v>16125</v>
      </c>
      <c r="P446" s="299" t="s">
        <v>15857</v>
      </c>
      <c r="Q446" s="300" t="s">
        <v>15855</v>
      </c>
      <c r="R446" s="182" t="str">
        <f ca="1">IF(ISERROR($V446),"",OFFSET('Smelter Look-up'!$C$4,$V446-4,0)&amp;"")</f>
        <v>Shandong Zhaojin Gold &amp; Silver Refinery Co., Ltd.</v>
      </c>
      <c r="S446" s="181" t="str">
        <f t="shared" ca="1" si="59"/>
        <v>CN</v>
      </c>
      <c r="T446" s="181" t="str">
        <f ca="1">IF(B446="","",IF(ISERROR(MATCH($J446,SorP!$B$1:$B$6226,0)),"",INDIRECT("'SorP'!$A$"&amp;MATCH($S446&amp;$J446,SorP!C:C,0))))</f>
        <v>CN-SD</v>
      </c>
      <c r="U446" s="201"/>
      <c r="V446" s="226">
        <f>IF(C446="",NA(),IF(OR(C446="Smelter not listed",C446="Smelter not yet identified"),MATCH($B446&amp;$D446,'Smelter Look-up'!$J:$J,0),MATCH($B446&amp;$C446,'Smelter Look-up'!$J:$J,0)))</f>
        <v>256</v>
      </c>
      <c r="X446" s="227">
        <f t="shared" si="60"/>
        <v>0</v>
      </c>
      <c r="AB446" s="228" t="str">
        <f t="shared" si="61"/>
        <v>GoldShandong Zhaojin Gold &amp; Silver Refinery Co., Ltd.</v>
      </c>
    </row>
    <row r="447" spans="1:28" s="227" customFormat="1" ht="94.5">
      <c r="A447" s="301" t="s">
        <v>722</v>
      </c>
      <c r="B447" s="293" t="s">
        <v>1119</v>
      </c>
      <c r="C447" s="294" t="s">
        <v>2144</v>
      </c>
      <c r="D447" s="295" t="s">
        <v>2144</v>
      </c>
      <c r="E447" s="293" t="s">
        <v>1090</v>
      </c>
      <c r="F447" s="293" t="s">
        <v>722</v>
      </c>
      <c r="G447" s="293" t="s">
        <v>13217</v>
      </c>
      <c r="H447" s="296" t="s">
        <v>15855</v>
      </c>
      <c r="I447" s="297" t="s">
        <v>1578</v>
      </c>
      <c r="J447" s="297" t="s">
        <v>13597</v>
      </c>
      <c r="K447" s="298" t="s">
        <v>15855</v>
      </c>
      <c r="L447" s="298" t="s">
        <v>15855</v>
      </c>
      <c r="M447" s="298" t="s">
        <v>2334</v>
      </c>
      <c r="N447" s="298" t="s">
        <v>12438</v>
      </c>
      <c r="O447" s="298" t="s">
        <v>15855</v>
      </c>
      <c r="P447" s="299" t="s">
        <v>15857</v>
      </c>
      <c r="Q447" s="300" t="s">
        <v>15855</v>
      </c>
      <c r="R447" s="182" t="str">
        <f ca="1">IF(ISERROR($V447),"",OFFSET('Smelter Look-up'!$C$4,$V447-4,0)&amp;"")</f>
        <v>Shandong Zhaojin Gold &amp; Silver Refinery Co., Ltd.</v>
      </c>
      <c r="S447" s="181" t="str">
        <f t="shared" ca="1" si="59"/>
        <v>CN</v>
      </c>
      <c r="T447" s="181" t="str">
        <f ca="1">IF(B447="","",IF(ISERROR(MATCH($J447,SorP!$B$1:$B$6226,0)),"",INDIRECT("'SorP'!$A$"&amp;MATCH($S447&amp;$J447,SorP!C:C,0))))</f>
        <v>CN-SD</v>
      </c>
      <c r="U447" s="201"/>
      <c r="V447" s="226">
        <f>IF(C447="",NA(),IF(OR(C447="Smelter not listed",C447="Smelter not yet identified"),MATCH($B447&amp;$D447,'Smelter Look-up'!$J:$J,0),MATCH($B447&amp;$C447,'Smelter Look-up'!$J:$J,0)))</f>
        <v>256</v>
      </c>
      <c r="X447" s="227">
        <f t="shared" si="60"/>
        <v>0</v>
      </c>
      <c r="AB447" s="228" t="str">
        <f t="shared" si="61"/>
        <v>GoldShandong Zhaojin Gold &amp; Silver Refinery Co., Ltd.</v>
      </c>
    </row>
    <row r="448" spans="1:28" s="227" customFormat="1" ht="94.5">
      <c r="A448" s="301" t="s">
        <v>722</v>
      </c>
      <c r="B448" s="293" t="s">
        <v>1119</v>
      </c>
      <c r="C448" s="294" t="s">
        <v>2144</v>
      </c>
      <c r="D448" s="295" t="s">
        <v>2144</v>
      </c>
      <c r="E448" s="293" t="s">
        <v>1090</v>
      </c>
      <c r="F448" s="293" t="s">
        <v>722</v>
      </c>
      <c r="G448" s="293" t="s">
        <v>13217</v>
      </c>
      <c r="H448" s="296" t="s">
        <v>15855</v>
      </c>
      <c r="I448" s="297" t="s">
        <v>1578</v>
      </c>
      <c r="J448" s="297" t="s">
        <v>13597</v>
      </c>
      <c r="K448" s="298" t="s">
        <v>16240</v>
      </c>
      <c r="L448" s="298" t="s">
        <v>16241</v>
      </c>
      <c r="M448" s="298" t="s">
        <v>16062</v>
      </c>
      <c r="N448" s="298" t="s">
        <v>16242</v>
      </c>
      <c r="O448" s="298" t="s">
        <v>15893</v>
      </c>
      <c r="P448" s="299" t="s">
        <v>15857</v>
      </c>
      <c r="Q448" s="300" t="s">
        <v>15855</v>
      </c>
      <c r="R448" s="182" t="str">
        <f ca="1">IF(ISERROR($V448),"",OFFSET('Smelter Look-up'!$C$4,$V448-4,0)&amp;"")</f>
        <v>Shandong Zhaojin Gold &amp; Silver Refinery Co., Ltd.</v>
      </c>
      <c r="S448" s="181" t="str">
        <f t="shared" ca="1" si="59"/>
        <v>CN</v>
      </c>
      <c r="T448" s="181" t="str">
        <f ca="1">IF(B448="","",IF(ISERROR(MATCH($J448,SorP!$B$1:$B$6226,0)),"",INDIRECT("'SorP'!$A$"&amp;MATCH($S448&amp;$J448,SorP!C:C,0))))</f>
        <v>CN-SD</v>
      </c>
      <c r="U448" s="201"/>
      <c r="V448" s="226">
        <f>IF(C448="",NA(),IF(OR(C448="Smelter not listed",C448="Smelter not yet identified"),MATCH($B448&amp;$D448,'Smelter Look-up'!$J:$J,0),MATCH($B448&amp;$C448,'Smelter Look-up'!$J:$J,0)))</f>
        <v>256</v>
      </c>
      <c r="X448" s="227">
        <f t="shared" si="60"/>
        <v>0</v>
      </c>
      <c r="AB448" s="228" t="str">
        <f t="shared" si="61"/>
        <v>GoldShandong Zhaojin Gold &amp; Silver Refinery Co., Ltd.</v>
      </c>
    </row>
    <row r="449" spans="1:28" s="227" customFormat="1" ht="94.5">
      <c r="A449" s="301" t="s">
        <v>722</v>
      </c>
      <c r="B449" s="293" t="s">
        <v>1119</v>
      </c>
      <c r="C449" s="294" t="s">
        <v>2144</v>
      </c>
      <c r="D449" s="295" t="s">
        <v>2144</v>
      </c>
      <c r="E449" s="293" t="s">
        <v>1090</v>
      </c>
      <c r="F449" s="293" t="s">
        <v>722</v>
      </c>
      <c r="G449" s="293" t="s">
        <v>13217</v>
      </c>
      <c r="H449" s="296" t="s">
        <v>15855</v>
      </c>
      <c r="I449" s="297" t="s">
        <v>1578</v>
      </c>
      <c r="J449" s="297" t="s">
        <v>13597</v>
      </c>
      <c r="K449" s="298" t="s">
        <v>16243</v>
      </c>
      <c r="L449" s="298" t="s">
        <v>16244</v>
      </c>
      <c r="M449" s="298" t="s">
        <v>12438</v>
      </c>
      <c r="N449" s="298" t="s">
        <v>2144</v>
      </c>
      <c r="O449" s="298" t="s">
        <v>15989</v>
      </c>
      <c r="P449" s="299" t="s">
        <v>15857</v>
      </c>
      <c r="Q449" s="300" t="s">
        <v>15855</v>
      </c>
      <c r="R449" s="182" t="str">
        <f ca="1">IF(ISERROR($V449),"",OFFSET('Smelter Look-up'!$C$4,$V449-4,0)&amp;"")</f>
        <v>Shandong Zhaojin Gold &amp; Silver Refinery Co., Ltd.</v>
      </c>
      <c r="S449" s="181" t="str">
        <f t="shared" ca="1" si="59"/>
        <v>CN</v>
      </c>
      <c r="T449" s="181" t="str">
        <f ca="1">IF(B449="","",IF(ISERROR(MATCH($J449,SorP!$B$1:$B$6226,0)),"",INDIRECT("'SorP'!$A$"&amp;MATCH($S449&amp;$J449,SorP!C:C,0))))</f>
        <v>CN-SD</v>
      </c>
      <c r="U449" s="201"/>
      <c r="V449" s="226">
        <f>IF(C449="",NA(),IF(OR(C449="Smelter not listed",C449="Smelter not yet identified"),MATCH($B449&amp;$D449,'Smelter Look-up'!$J:$J,0),MATCH($B449&amp;$C449,'Smelter Look-up'!$J:$J,0)))</f>
        <v>256</v>
      </c>
      <c r="X449" s="227">
        <f t="shared" si="60"/>
        <v>0</v>
      </c>
      <c r="AB449" s="228" t="str">
        <f t="shared" si="61"/>
        <v>GoldShandong Zhaojin Gold &amp; Silver Refinery Co., Ltd.</v>
      </c>
    </row>
    <row r="450" spans="1:28" s="227" customFormat="1" ht="94.5">
      <c r="A450" s="301" t="s">
        <v>722</v>
      </c>
      <c r="B450" s="293" t="s">
        <v>1119</v>
      </c>
      <c r="C450" s="294" t="s">
        <v>2144</v>
      </c>
      <c r="D450" s="295" t="s">
        <v>2144</v>
      </c>
      <c r="E450" s="293" t="s">
        <v>1090</v>
      </c>
      <c r="F450" s="293" t="s">
        <v>722</v>
      </c>
      <c r="G450" s="293" t="s">
        <v>13217</v>
      </c>
      <c r="H450" s="296" t="s">
        <v>15855</v>
      </c>
      <c r="I450" s="297" t="s">
        <v>1578</v>
      </c>
      <c r="J450" s="297" t="s">
        <v>13597</v>
      </c>
      <c r="K450" s="298" t="s">
        <v>16243</v>
      </c>
      <c r="L450" s="298" t="s">
        <v>16244</v>
      </c>
      <c r="M450" s="298" t="s">
        <v>12438</v>
      </c>
      <c r="N450" s="298" t="s">
        <v>2144</v>
      </c>
      <c r="O450" s="298" t="s">
        <v>15989</v>
      </c>
      <c r="P450" s="299" t="s">
        <v>15857</v>
      </c>
      <c r="Q450" s="300" t="s">
        <v>16245</v>
      </c>
      <c r="R450" s="182" t="str">
        <f ca="1">IF(ISERROR($V450),"",OFFSET('Smelter Look-up'!$C$4,$V450-4,0)&amp;"")</f>
        <v>Shandong Zhaojin Gold &amp; Silver Refinery Co., Ltd.</v>
      </c>
      <c r="S450" s="181" t="str">
        <f t="shared" ca="1" si="59"/>
        <v>CN</v>
      </c>
      <c r="T450" s="181" t="str">
        <f ca="1">IF(B450="","",IF(ISERROR(MATCH($J450,SorP!$B$1:$B$6226,0)),"",INDIRECT("'SorP'!$A$"&amp;MATCH($S450&amp;$J450,SorP!C:C,0))))</f>
        <v>CN-SD</v>
      </c>
      <c r="U450" s="201"/>
      <c r="V450" s="226">
        <f>IF(C450="",NA(),IF(OR(C450="Smelter not listed",C450="Smelter not yet identified"),MATCH($B450&amp;$D450,'Smelter Look-up'!$J:$J,0),MATCH($B450&amp;$C450,'Smelter Look-up'!$J:$J,0)))</f>
        <v>256</v>
      </c>
      <c r="X450" s="227">
        <f t="shared" si="60"/>
        <v>0</v>
      </c>
      <c r="AB450" s="228" t="str">
        <f t="shared" si="61"/>
        <v>GoldShandong Zhaojin Gold &amp; Silver Refinery Co., Ltd.</v>
      </c>
    </row>
    <row r="451" spans="1:28" s="227" customFormat="1" ht="94.5">
      <c r="A451" s="301" t="s">
        <v>722</v>
      </c>
      <c r="B451" s="293" t="s">
        <v>1119</v>
      </c>
      <c r="C451" s="294" t="s">
        <v>2144</v>
      </c>
      <c r="D451" s="295" t="s">
        <v>2144</v>
      </c>
      <c r="E451" s="293" t="s">
        <v>1090</v>
      </c>
      <c r="F451" s="293" t="s">
        <v>722</v>
      </c>
      <c r="G451" s="293" t="s">
        <v>13217</v>
      </c>
      <c r="H451" s="302" t="s">
        <v>15880</v>
      </c>
      <c r="I451" s="297" t="s">
        <v>1578</v>
      </c>
      <c r="J451" s="297" t="s">
        <v>16239</v>
      </c>
      <c r="K451" s="298" t="s">
        <v>15855</v>
      </c>
      <c r="L451" s="298" t="s">
        <v>15855</v>
      </c>
      <c r="M451" s="298" t="s">
        <v>15855</v>
      </c>
      <c r="N451" s="298" t="s">
        <v>15855</v>
      </c>
      <c r="O451" s="298" t="s">
        <v>15855</v>
      </c>
      <c r="P451" s="299" t="s">
        <v>15857</v>
      </c>
      <c r="Q451" s="300" t="s">
        <v>15855</v>
      </c>
      <c r="R451" s="182" t="str">
        <f ca="1">IF(ISERROR($V451),"",OFFSET('Smelter Look-up'!$C$4,$V451-4,0)&amp;"")</f>
        <v>Shandong Zhaojin Gold &amp; Silver Refinery Co., Ltd.</v>
      </c>
      <c r="S451" s="181" t="str">
        <f t="shared" ca="1" si="59"/>
        <v>CN</v>
      </c>
      <c r="T451" s="181" t="str">
        <f ca="1">IF(B451="","",IF(ISERROR(MATCH($J451,SorP!$B$1:$B$6226,0)),"",INDIRECT("'SorP'!$A$"&amp;MATCH($S451&amp;$J451,SorP!C:C,0))))</f>
        <v/>
      </c>
      <c r="U451" s="201"/>
      <c r="V451" s="226">
        <f>IF(C451="",NA(),IF(OR(C451="Smelter not listed",C451="Smelter not yet identified"),MATCH($B451&amp;$D451,'Smelter Look-up'!$J:$J,0),MATCH($B451&amp;$C451,'Smelter Look-up'!$J:$J,0)))</f>
        <v>256</v>
      </c>
      <c r="X451" s="227">
        <f t="shared" si="60"/>
        <v>0</v>
      </c>
      <c r="AB451" s="228" t="str">
        <f t="shared" si="61"/>
        <v>GoldShandong Zhaojin Gold &amp; Silver Refinery Co., Ltd.</v>
      </c>
    </row>
    <row r="452" spans="1:28" s="227" customFormat="1" ht="94.5">
      <c r="A452" s="301" t="s">
        <v>722</v>
      </c>
      <c r="B452" s="293" t="s">
        <v>1119</v>
      </c>
      <c r="C452" s="294" t="s">
        <v>2144</v>
      </c>
      <c r="D452" s="295" t="s">
        <v>2144</v>
      </c>
      <c r="E452" s="293" t="s">
        <v>1090</v>
      </c>
      <c r="F452" s="293" t="s">
        <v>722</v>
      </c>
      <c r="G452" s="293" t="s">
        <v>13217</v>
      </c>
      <c r="H452" s="302" t="s">
        <v>15880</v>
      </c>
      <c r="I452" s="297" t="s">
        <v>1578</v>
      </c>
      <c r="J452" s="297" t="s">
        <v>13597</v>
      </c>
      <c r="K452" s="298" t="s">
        <v>15881</v>
      </c>
      <c r="L452" s="298" t="s">
        <v>15881</v>
      </c>
      <c r="M452" s="298" t="s">
        <v>12593</v>
      </c>
      <c r="N452" s="298" t="s">
        <v>15881</v>
      </c>
      <c r="O452" s="298" t="s">
        <v>15881</v>
      </c>
      <c r="P452" s="299" t="s">
        <v>15857</v>
      </c>
      <c r="Q452" s="300" t="s">
        <v>15855</v>
      </c>
      <c r="R452" s="182" t="str">
        <f ca="1">IF(ISERROR($V452),"",OFFSET('Smelter Look-up'!$C$4,$V452-4,0)&amp;"")</f>
        <v>Shandong Zhaojin Gold &amp; Silver Refinery Co., Ltd.</v>
      </c>
      <c r="S452" s="181" t="str">
        <f t="shared" ca="1" si="59"/>
        <v>CN</v>
      </c>
      <c r="T452" s="181" t="str">
        <f ca="1">IF(B452="","",IF(ISERROR(MATCH($J452,SorP!$B$1:$B$6226,0)),"",INDIRECT("'SorP'!$A$"&amp;MATCH($S452&amp;$J452,SorP!C:C,0))))</f>
        <v>CN-SD</v>
      </c>
      <c r="U452" s="201"/>
      <c r="V452" s="226">
        <f>IF(C452="",NA(),IF(OR(C452="Smelter not listed",C452="Smelter not yet identified"),MATCH($B452&amp;$D452,'Smelter Look-up'!$J:$J,0),MATCH($B452&amp;$C452,'Smelter Look-up'!$J:$J,0)))</f>
        <v>256</v>
      </c>
      <c r="X452" s="227">
        <f t="shared" si="60"/>
        <v>0</v>
      </c>
      <c r="AB452" s="228" t="str">
        <f t="shared" si="61"/>
        <v>GoldShandong Zhaojin Gold &amp; Silver Refinery Co., Ltd.</v>
      </c>
    </row>
    <row r="453" spans="1:28" s="227" customFormat="1" ht="94.5">
      <c r="A453" s="301" t="s">
        <v>722</v>
      </c>
      <c r="B453" s="293" t="s">
        <v>1119</v>
      </c>
      <c r="C453" s="294" t="s">
        <v>2144</v>
      </c>
      <c r="D453" s="295" t="s">
        <v>2144</v>
      </c>
      <c r="E453" s="293" t="s">
        <v>1090</v>
      </c>
      <c r="F453" s="293" t="s">
        <v>722</v>
      </c>
      <c r="G453" s="293" t="s">
        <v>13217</v>
      </c>
      <c r="H453" s="302" t="s">
        <v>15880</v>
      </c>
      <c r="I453" s="297" t="s">
        <v>1578</v>
      </c>
      <c r="J453" s="297" t="s">
        <v>13597</v>
      </c>
      <c r="K453" s="298" t="s">
        <v>16246</v>
      </c>
      <c r="L453" s="298" t="s">
        <v>16247</v>
      </c>
      <c r="M453" s="298" t="s">
        <v>15855</v>
      </c>
      <c r="N453" s="298" t="s">
        <v>16248</v>
      </c>
      <c r="O453" s="298" t="s">
        <v>1090</v>
      </c>
      <c r="P453" s="299" t="s">
        <v>15857</v>
      </c>
      <c r="Q453" s="300" t="s">
        <v>16249</v>
      </c>
      <c r="R453" s="182" t="str">
        <f ca="1">IF(ISERROR($V453),"",OFFSET('Smelter Look-up'!$C$4,$V453-4,0)&amp;"")</f>
        <v>Shandong Zhaojin Gold &amp; Silver Refinery Co., Ltd.</v>
      </c>
      <c r="S453" s="181" t="str">
        <f t="shared" ref="S453" ca="1" si="62">IF(B453="","",IF(ISERROR(MATCH($E453,CL,0)),"Unknown",INDIRECT("'C'!$A$"&amp;MATCH($E453,CL,0)+1)))</f>
        <v>CN</v>
      </c>
      <c r="T453" s="181" t="str">
        <f ca="1">IF(B453="","",IF(ISERROR(MATCH($J453,SorP!$B$1:$B$6226,0)),"",INDIRECT("'SorP'!$A$"&amp;MATCH($S453&amp;$J453,SorP!C:C,0))))</f>
        <v>CN-SD</v>
      </c>
      <c r="U453" s="201"/>
      <c r="V453" s="226">
        <f>IF(C453="",NA(),IF(OR(C453="Smelter not listed",C453="Smelter not yet identified"),MATCH($B453&amp;$D453,'Smelter Look-up'!$J:$J,0),MATCH($B453&amp;$C453,'Smelter Look-up'!$J:$J,0)))</f>
        <v>256</v>
      </c>
      <c r="X453" s="227">
        <f t="shared" ref="X453" si="63">IF(AND(C453="Smelter not listed",OR(LEN(D453)=0,LEN(E453)=0)),1,0)</f>
        <v>0</v>
      </c>
      <c r="AB453" s="228" t="str">
        <f t="shared" ref="AB453" si="64">B453&amp;C453</f>
        <v>GoldShandong Zhaojin Gold &amp; Silver Refinery Co., Ltd.</v>
      </c>
    </row>
    <row r="454" spans="1:28" s="227" customFormat="1" ht="94.5">
      <c r="A454" s="301" t="s">
        <v>722</v>
      </c>
      <c r="B454" s="293" t="s">
        <v>1119</v>
      </c>
      <c r="C454" s="294" t="s">
        <v>2144</v>
      </c>
      <c r="D454" s="295" t="s">
        <v>2144</v>
      </c>
      <c r="E454" s="293" t="s">
        <v>1090</v>
      </c>
      <c r="F454" s="293" t="s">
        <v>722</v>
      </c>
      <c r="G454" s="293" t="s">
        <v>13217</v>
      </c>
      <c r="H454" s="296" t="s">
        <v>16250</v>
      </c>
      <c r="I454" s="297" t="s">
        <v>1578</v>
      </c>
      <c r="J454" s="297" t="s">
        <v>13597</v>
      </c>
      <c r="K454" s="298" t="s">
        <v>16243</v>
      </c>
      <c r="L454" s="298" t="s">
        <v>16244</v>
      </c>
      <c r="M454" s="298" t="s">
        <v>12438</v>
      </c>
      <c r="N454" s="298" t="s">
        <v>2144</v>
      </c>
      <c r="O454" s="298" t="s">
        <v>15989</v>
      </c>
      <c r="P454" s="299" t="s">
        <v>15857</v>
      </c>
      <c r="Q454" s="300" t="s">
        <v>16245</v>
      </c>
      <c r="R454" s="182" t="str">
        <f ca="1">IF(ISERROR($V454),"",OFFSET('Smelter Look-up'!$C$4,$V454-4,0)&amp;"")</f>
        <v>Shandong Zhaojin Gold &amp; Silver Refinery Co., Ltd.</v>
      </c>
      <c r="S454" s="181" t="str">
        <f t="shared" ref="S454:S485" ca="1" si="65">IF(B454="","",IF(ISERROR(MATCH($E454,CL,0)),"Unknown",INDIRECT("'C'!$A$"&amp;MATCH($E454,CL,0)+1)))</f>
        <v>CN</v>
      </c>
      <c r="T454" s="181" t="str">
        <f ca="1">IF(B454="","",IF(ISERROR(MATCH($J454,SorP!$B$1:$B$6226,0)),"",INDIRECT("'SorP'!$A$"&amp;MATCH($S454&amp;$J454,SorP!C:C,0))))</f>
        <v>CN-SD</v>
      </c>
      <c r="U454" s="201"/>
      <c r="V454" s="226">
        <f>IF(C454="",NA(),IF(OR(C454="Smelter not listed",C454="Smelter not yet identified"),MATCH($B454&amp;$D454,'Smelter Look-up'!$J:$J,0),MATCH($B454&amp;$C454,'Smelter Look-up'!$J:$J,0)))</f>
        <v>256</v>
      </c>
      <c r="X454" s="227">
        <f t="shared" ref="X454:X485" si="66">IF(AND(C454="Smelter not listed",OR(LEN(D454)=0,LEN(E454)=0)),1,0)</f>
        <v>0</v>
      </c>
      <c r="AB454" s="228" t="str">
        <f t="shared" ref="AB454:AB485" si="67">B454&amp;C454</f>
        <v>GoldShandong Zhaojin Gold &amp; Silver Refinery Co., Ltd.</v>
      </c>
    </row>
    <row r="455" spans="1:28" s="227" customFormat="1" ht="94.5">
      <c r="A455" s="301" t="s">
        <v>722</v>
      </c>
      <c r="B455" s="293" t="s">
        <v>1119</v>
      </c>
      <c r="C455" s="294" t="s">
        <v>2144</v>
      </c>
      <c r="D455" s="295" t="s">
        <v>2144</v>
      </c>
      <c r="E455" s="293" t="s">
        <v>1090</v>
      </c>
      <c r="F455" s="293" t="s">
        <v>722</v>
      </c>
      <c r="G455" s="293" t="s">
        <v>13217</v>
      </c>
      <c r="H455" s="296" t="s">
        <v>16251</v>
      </c>
      <c r="I455" s="297" t="s">
        <v>1578</v>
      </c>
      <c r="J455" s="297" t="s">
        <v>13597</v>
      </c>
      <c r="K455" s="298" t="s">
        <v>16246</v>
      </c>
      <c r="L455" s="298" t="s">
        <v>16247</v>
      </c>
      <c r="M455" s="298" t="s">
        <v>15855</v>
      </c>
      <c r="N455" s="298" t="s">
        <v>16248</v>
      </c>
      <c r="O455" s="298" t="s">
        <v>1090</v>
      </c>
      <c r="P455" s="299" t="s">
        <v>15857</v>
      </c>
      <c r="Q455" s="300" t="s">
        <v>16252</v>
      </c>
      <c r="R455" s="182" t="str">
        <f ca="1">IF(ISERROR($V455),"",OFFSET('Smelter Look-up'!$C$4,$V455-4,0)&amp;"")</f>
        <v>Shandong Zhaojin Gold &amp; Silver Refinery Co., Ltd.</v>
      </c>
      <c r="S455" s="181" t="str">
        <f t="shared" ca="1" si="65"/>
        <v>CN</v>
      </c>
      <c r="T455" s="181" t="str">
        <f ca="1">IF(B455="","",IF(ISERROR(MATCH($J455,SorP!$B$1:$B$6226,0)),"",INDIRECT("'SorP'!$A$"&amp;MATCH($S455&amp;$J455,SorP!C:C,0))))</f>
        <v>CN-SD</v>
      </c>
      <c r="U455" s="201"/>
      <c r="V455" s="226">
        <f>IF(C455="",NA(),IF(OR(C455="Smelter not listed",C455="Smelter not yet identified"),MATCH($B455&amp;$D455,'Smelter Look-up'!$J:$J,0),MATCH($B455&amp;$C455,'Smelter Look-up'!$J:$J,0)))</f>
        <v>256</v>
      </c>
      <c r="X455" s="227">
        <f t="shared" si="66"/>
        <v>0</v>
      </c>
      <c r="AB455" s="228" t="str">
        <f t="shared" si="67"/>
        <v>GoldShandong Zhaojin Gold &amp; Silver Refinery Co., Ltd.</v>
      </c>
    </row>
    <row r="456" spans="1:28" s="227" customFormat="1" ht="67.5">
      <c r="A456" s="301" t="s">
        <v>722</v>
      </c>
      <c r="B456" s="293" t="s">
        <v>1119</v>
      </c>
      <c r="C456" s="294" t="s">
        <v>1650</v>
      </c>
      <c r="D456" s="295" t="s">
        <v>2144</v>
      </c>
      <c r="E456" s="293" t="s">
        <v>1090</v>
      </c>
      <c r="F456" s="293" t="s">
        <v>722</v>
      </c>
      <c r="G456" s="293" t="s">
        <v>15865</v>
      </c>
      <c r="H456" s="296" t="s">
        <v>15855</v>
      </c>
      <c r="I456" s="297" t="s">
        <v>1578</v>
      </c>
      <c r="J456" s="297" t="s">
        <v>16239</v>
      </c>
      <c r="K456" s="298" t="s">
        <v>15855</v>
      </c>
      <c r="L456" s="298" t="s">
        <v>15855</v>
      </c>
      <c r="M456" s="298" t="s">
        <v>15855</v>
      </c>
      <c r="N456" s="298" t="s">
        <v>15855</v>
      </c>
      <c r="O456" s="298" t="s">
        <v>15855</v>
      </c>
      <c r="P456" s="299" t="s">
        <v>15857</v>
      </c>
      <c r="Q456" s="300" t="s">
        <v>15855</v>
      </c>
      <c r="R456" s="182" t="str">
        <f ca="1">IF(ISERROR($V456),"",OFFSET('Smelter Look-up'!$C$4,$V456-4,0)&amp;"")</f>
        <v>Shandong Zhaojin Gold &amp; Silver Refinery Co., Ltd.</v>
      </c>
      <c r="S456" s="181" t="str">
        <f t="shared" ca="1" si="65"/>
        <v>CN</v>
      </c>
      <c r="T456" s="181" t="str">
        <f ca="1">IF(B456="","",IF(ISERROR(MATCH($J456,SorP!$B$1:$B$6226,0)),"",INDIRECT("'SorP'!$A$"&amp;MATCH($S456&amp;$J456,SorP!C:C,0))))</f>
        <v/>
      </c>
      <c r="U456" s="201"/>
      <c r="V456" s="226">
        <f>IF(C456="",NA(),IF(OR(C456="Smelter not listed",C456="Smelter not yet identified"),MATCH($B456&amp;$D456,'Smelter Look-up'!$J:$J,0),MATCH($B456&amp;$C456,'Smelter Look-up'!$J:$J,0)))</f>
        <v>323</v>
      </c>
      <c r="X456" s="227">
        <f t="shared" si="66"/>
        <v>0</v>
      </c>
      <c r="AB456" s="228" t="str">
        <f t="shared" si="67"/>
        <v>GoldZhaojin Mining Industry Co., Ltd.</v>
      </c>
    </row>
    <row r="457" spans="1:28" s="227" customFormat="1" ht="94.5">
      <c r="A457" s="301" t="s">
        <v>15044</v>
      </c>
      <c r="B457" s="293" t="s">
        <v>1119</v>
      </c>
      <c r="C457" s="294" t="s">
        <v>15043</v>
      </c>
      <c r="D457" s="295" t="s">
        <v>15043</v>
      </c>
      <c r="E457" s="293" t="s">
        <v>1090</v>
      </c>
      <c r="F457" s="293" t="s">
        <v>15044</v>
      </c>
      <c r="G457" s="293" t="s">
        <v>13217</v>
      </c>
      <c r="H457" s="296" t="s">
        <v>15855</v>
      </c>
      <c r="I457" s="297" t="s">
        <v>15104</v>
      </c>
      <c r="J457" s="297" t="s">
        <v>13601</v>
      </c>
      <c r="K457" s="298" t="s">
        <v>15855</v>
      </c>
      <c r="L457" s="298" t="s">
        <v>15855</v>
      </c>
      <c r="M457" s="298" t="s">
        <v>15855</v>
      </c>
      <c r="N457" s="298" t="s">
        <v>15855</v>
      </c>
      <c r="O457" s="298" t="s">
        <v>15858</v>
      </c>
      <c r="P457" s="299" t="s">
        <v>15857</v>
      </c>
      <c r="Q457" s="300" t="s">
        <v>15855</v>
      </c>
      <c r="R457" s="182" t="str">
        <f ca="1">IF(ISERROR($V457),"",OFFSET('Smelter Look-up'!$C$4,$V457-4,0)&amp;"")</f>
        <v>Shenzhen Zhonghenglong Real Industry Co., Ltd.</v>
      </c>
      <c r="S457" s="181" t="str">
        <f t="shared" ca="1" si="65"/>
        <v>CN</v>
      </c>
      <c r="T457" s="181" t="str">
        <f ca="1">IF(B457="","",IF(ISERROR(MATCH($J457,SorP!$B$1:$B$6226,0)),"",INDIRECT("'SorP'!$A$"&amp;MATCH($S457&amp;$J457,SorP!C:C,0))))</f>
        <v>CN-GD</v>
      </c>
      <c r="U457" s="201"/>
      <c r="V457" s="226">
        <f>IF(C457="",NA(),IF(OR(C457="Smelter not listed",C457="Smelter not yet identified"),MATCH($B457&amp;$D457,'Smelter Look-up'!$J:$J,0),MATCH($B457&amp;$C457,'Smelter Look-up'!$J:$J,0)))</f>
        <v>260</v>
      </c>
      <c r="X457" s="227">
        <f t="shared" si="66"/>
        <v>0</v>
      </c>
      <c r="AB457" s="228" t="str">
        <f t="shared" si="67"/>
        <v>GoldShenzhen Zhonghenglong Real Industry Co., Ltd.</v>
      </c>
    </row>
    <row r="458" spans="1:28" s="227" customFormat="1" ht="54">
      <c r="A458" s="301" t="s">
        <v>13839</v>
      </c>
      <c r="B458" s="293" t="s">
        <v>1119</v>
      </c>
      <c r="C458" s="294" t="s">
        <v>13824</v>
      </c>
      <c r="D458" s="295" t="s">
        <v>13824</v>
      </c>
      <c r="E458" s="293" t="s">
        <v>1096</v>
      </c>
      <c r="F458" s="293" t="s">
        <v>13839</v>
      </c>
      <c r="G458" s="293" t="s">
        <v>13217</v>
      </c>
      <c r="H458" s="296" t="s">
        <v>15855</v>
      </c>
      <c r="I458" s="297" t="s">
        <v>13847</v>
      </c>
      <c r="J458" s="297" t="s">
        <v>15410</v>
      </c>
      <c r="K458" s="298" t="s">
        <v>15855</v>
      </c>
      <c r="L458" s="298" t="s">
        <v>15855</v>
      </c>
      <c r="M458" s="298" t="s">
        <v>15855</v>
      </c>
      <c r="N458" s="298" t="s">
        <v>15855</v>
      </c>
      <c r="O458" s="298" t="s">
        <v>15858</v>
      </c>
      <c r="P458" s="299" t="s">
        <v>15857</v>
      </c>
      <c r="Q458" s="300" t="s">
        <v>15855</v>
      </c>
      <c r="R458" s="182" t="str">
        <f ca="1">IF(ISERROR($V458),"",OFFSET('Smelter Look-up'!$C$4,$V458-4,0)&amp;"")</f>
        <v>Shirpur Gold Refinery Ltd.</v>
      </c>
      <c r="S458" s="181" t="str">
        <f t="shared" ca="1" si="65"/>
        <v>IN</v>
      </c>
      <c r="T458" s="181" t="str">
        <f ca="1">IF(B458="","",IF(ISERROR(MATCH($J458,SorP!$B$1:$B$6226,0)),"",INDIRECT("'SorP'!$A$"&amp;MATCH($S458&amp;$J458,SorP!C:C,0))))</f>
        <v>IN-MH</v>
      </c>
      <c r="U458" s="201"/>
      <c r="V458" s="226">
        <f>IF(C458="",NA(),IF(OR(C458="Smelter not listed",C458="Smelter not yet identified"),MATCH($B458&amp;$D458,'Smelter Look-up'!$J:$J,0),MATCH($B458&amp;$C458,'Smelter Look-up'!$J:$J,0)))</f>
        <v>261</v>
      </c>
      <c r="X458" s="227">
        <f t="shared" si="66"/>
        <v>0</v>
      </c>
      <c r="AB458" s="228" t="str">
        <f t="shared" si="67"/>
        <v>GoldShirpur Gold Refinery Ltd.</v>
      </c>
    </row>
    <row r="459" spans="1:28" s="227" customFormat="1" ht="81">
      <c r="A459" s="301" t="s">
        <v>1380</v>
      </c>
      <c r="B459" s="293" t="s">
        <v>1119</v>
      </c>
      <c r="C459" s="294" t="s">
        <v>2145</v>
      </c>
      <c r="D459" s="295" t="s">
        <v>2145</v>
      </c>
      <c r="E459" s="293" t="s">
        <v>1090</v>
      </c>
      <c r="F459" s="293" t="s">
        <v>1380</v>
      </c>
      <c r="G459" s="293" t="s">
        <v>13217</v>
      </c>
      <c r="H459" s="296" t="s">
        <v>15855</v>
      </c>
      <c r="I459" s="297" t="s">
        <v>1651</v>
      </c>
      <c r="J459" s="297" t="s">
        <v>13603</v>
      </c>
      <c r="K459" s="298" t="s">
        <v>15855</v>
      </c>
      <c r="L459" s="298" t="s">
        <v>15855</v>
      </c>
      <c r="M459" s="298" t="s">
        <v>15855</v>
      </c>
      <c r="N459" s="298" t="s">
        <v>15855</v>
      </c>
      <c r="O459" s="298" t="s">
        <v>15855</v>
      </c>
      <c r="P459" s="299" t="s">
        <v>15857</v>
      </c>
      <c r="Q459" s="300" t="s">
        <v>15855</v>
      </c>
      <c r="R459" s="182" t="str">
        <f ca="1">IF(ISERROR($V459),"",OFFSET('Smelter Look-up'!$C$4,$V459-4,0)&amp;"")</f>
        <v>Sichuan Tianze Precious Metals Co., Ltd.</v>
      </c>
      <c r="S459" s="181" t="str">
        <f t="shared" ca="1" si="65"/>
        <v>CN</v>
      </c>
      <c r="T459" s="181" t="str">
        <f ca="1">IF(B459="","",IF(ISERROR(MATCH($J459,SorP!$B$1:$B$6226,0)),"",INDIRECT("'SorP'!$A$"&amp;MATCH($S459&amp;$J459,SorP!C:C,0))))</f>
        <v>CN-SC</v>
      </c>
      <c r="U459" s="201"/>
      <c r="V459" s="226">
        <f>IF(C459="",NA(),IF(OR(C459="Smelter not listed",C459="Smelter not yet identified"),MATCH($B459&amp;$D459,'Smelter Look-up'!$J:$J,0),MATCH($B459&amp;$C459,'Smelter Look-up'!$J:$J,0)))</f>
        <v>264</v>
      </c>
      <c r="X459" s="227">
        <f t="shared" si="66"/>
        <v>0</v>
      </c>
      <c r="AB459" s="228" t="str">
        <f t="shared" si="67"/>
        <v>GoldSichuan Tianze Precious Metals Co., Ltd.</v>
      </c>
    </row>
    <row r="460" spans="1:28" s="227" customFormat="1" ht="81">
      <c r="A460" s="301" t="s">
        <v>1380</v>
      </c>
      <c r="B460" s="293" t="s">
        <v>1119</v>
      </c>
      <c r="C460" s="294" t="s">
        <v>2145</v>
      </c>
      <c r="D460" s="295" t="s">
        <v>2145</v>
      </c>
      <c r="E460" s="293" t="s">
        <v>1090</v>
      </c>
      <c r="F460" s="293" t="s">
        <v>1380</v>
      </c>
      <c r="G460" s="293" t="s">
        <v>13217</v>
      </c>
      <c r="H460" s="296" t="s">
        <v>15855</v>
      </c>
      <c r="I460" s="297" t="s">
        <v>1651</v>
      </c>
      <c r="J460" s="297" t="s">
        <v>13603</v>
      </c>
      <c r="K460" s="298" t="s">
        <v>15855</v>
      </c>
      <c r="L460" s="298" t="s">
        <v>15855</v>
      </c>
      <c r="M460" s="298" t="s">
        <v>15855</v>
      </c>
      <c r="N460" s="298" t="s">
        <v>15855</v>
      </c>
      <c r="O460" s="298" t="s">
        <v>15858</v>
      </c>
      <c r="P460" s="299" t="s">
        <v>15857</v>
      </c>
      <c r="Q460" s="300" t="s">
        <v>15855</v>
      </c>
      <c r="R460" s="182" t="str">
        <f ca="1">IF(ISERROR($V460),"",OFFSET('Smelter Look-up'!$C$4,$V460-4,0)&amp;"")</f>
        <v>Sichuan Tianze Precious Metals Co., Ltd.</v>
      </c>
      <c r="S460" s="181" t="str">
        <f t="shared" ca="1" si="65"/>
        <v>CN</v>
      </c>
      <c r="T460" s="181" t="str">
        <f ca="1">IF(B460="","",IF(ISERROR(MATCH($J460,SorP!$B$1:$B$6226,0)),"",INDIRECT("'SorP'!$A$"&amp;MATCH($S460&amp;$J460,SorP!C:C,0))))</f>
        <v>CN-SC</v>
      </c>
      <c r="U460" s="201"/>
      <c r="V460" s="226">
        <f>IF(C460="",NA(),IF(OR(C460="Smelter not listed",C460="Smelter not yet identified"),MATCH($B460&amp;$D460,'Smelter Look-up'!$J:$J,0),MATCH($B460&amp;$C460,'Smelter Look-up'!$J:$J,0)))</f>
        <v>264</v>
      </c>
      <c r="X460" s="227">
        <f t="shared" si="66"/>
        <v>0</v>
      </c>
      <c r="AB460" s="228" t="str">
        <f t="shared" si="67"/>
        <v>GoldSichuan Tianze Precious Metals Co., Ltd.</v>
      </c>
    </row>
    <row r="461" spans="1:28" s="227" customFormat="1" ht="81">
      <c r="A461" s="301" t="s">
        <v>1380</v>
      </c>
      <c r="B461" s="293" t="s">
        <v>1119</v>
      </c>
      <c r="C461" s="294" t="s">
        <v>2145</v>
      </c>
      <c r="D461" s="295" t="s">
        <v>2145</v>
      </c>
      <c r="E461" s="293" t="s">
        <v>1090</v>
      </c>
      <c r="F461" s="293" t="s">
        <v>1380</v>
      </c>
      <c r="G461" s="293" t="s">
        <v>13217</v>
      </c>
      <c r="H461" s="296" t="s">
        <v>15855</v>
      </c>
      <c r="I461" s="297" t="s">
        <v>1651</v>
      </c>
      <c r="J461" s="297" t="s">
        <v>13603</v>
      </c>
      <c r="K461" s="298" t="s">
        <v>16253</v>
      </c>
      <c r="L461" s="298" t="s">
        <v>16254</v>
      </c>
      <c r="M461" s="298" t="s">
        <v>15953</v>
      </c>
      <c r="N461" s="298" t="s">
        <v>15862</v>
      </c>
      <c r="O461" s="298" t="s">
        <v>15893</v>
      </c>
      <c r="P461" s="299" t="s">
        <v>15857</v>
      </c>
      <c r="Q461" s="300" t="s">
        <v>15855</v>
      </c>
      <c r="R461" s="182" t="str">
        <f ca="1">IF(ISERROR($V461),"",OFFSET('Smelter Look-up'!$C$4,$V461-4,0)&amp;"")</f>
        <v>Sichuan Tianze Precious Metals Co., Ltd.</v>
      </c>
      <c r="S461" s="181" t="str">
        <f t="shared" ca="1" si="65"/>
        <v>CN</v>
      </c>
      <c r="T461" s="181" t="str">
        <f ca="1">IF(B461="","",IF(ISERROR(MATCH($J461,SorP!$B$1:$B$6226,0)),"",INDIRECT("'SorP'!$A$"&amp;MATCH($S461&amp;$J461,SorP!C:C,0))))</f>
        <v>CN-SC</v>
      </c>
      <c r="U461" s="201"/>
      <c r="V461" s="226">
        <f>IF(C461="",NA(),IF(OR(C461="Smelter not listed",C461="Smelter not yet identified"),MATCH($B461&amp;$D461,'Smelter Look-up'!$J:$J,0),MATCH($B461&amp;$C461,'Smelter Look-up'!$J:$J,0)))</f>
        <v>264</v>
      </c>
      <c r="X461" s="227">
        <f t="shared" si="66"/>
        <v>0</v>
      </c>
      <c r="AB461" s="228" t="str">
        <f t="shared" si="67"/>
        <v>GoldSichuan Tianze Precious Metals Co., Ltd.</v>
      </c>
    </row>
    <row r="462" spans="1:28" s="227" customFormat="1" ht="67.5">
      <c r="A462" s="301" t="s">
        <v>1382</v>
      </c>
      <c r="B462" s="293" t="s">
        <v>1119</v>
      </c>
      <c r="C462" s="294" t="s">
        <v>1381</v>
      </c>
      <c r="D462" s="295" t="s">
        <v>1381</v>
      </c>
      <c r="E462" s="293" t="s">
        <v>2414</v>
      </c>
      <c r="F462" s="293" t="s">
        <v>1382</v>
      </c>
      <c r="G462" s="293" t="s">
        <v>13217</v>
      </c>
      <c r="H462" s="296" t="s">
        <v>15855</v>
      </c>
      <c r="I462" s="297" t="s">
        <v>1690</v>
      </c>
      <c r="J462" s="297" t="s">
        <v>1691</v>
      </c>
      <c r="K462" s="298" t="s">
        <v>15855</v>
      </c>
      <c r="L462" s="298" t="s">
        <v>15855</v>
      </c>
      <c r="M462" s="298" t="s">
        <v>15855</v>
      </c>
      <c r="N462" s="298" t="s">
        <v>15855</v>
      </c>
      <c r="O462" s="298" t="s">
        <v>15855</v>
      </c>
      <c r="P462" s="299" t="s">
        <v>15857</v>
      </c>
      <c r="Q462" s="300" t="s">
        <v>15855</v>
      </c>
      <c r="R462" s="182" t="str">
        <f ca="1">IF(ISERROR($V462),"",OFFSET('Smelter Look-up'!$C$4,$V462-4,0)&amp;"")</f>
        <v>Singway Technology Co., Ltd.</v>
      </c>
      <c r="S462" s="181" t="str">
        <f t="shared" ca="1" si="65"/>
        <v>TW</v>
      </c>
      <c r="T462" s="181" t="str">
        <f ca="1">IF(B462="","",IF(ISERROR(MATCH($J462,SorP!$B$1:$B$6226,0)),"",INDIRECT("'SorP'!$A$"&amp;MATCH($S462&amp;$J462,SorP!C:C,0))))</f>
        <v>TW-TAO</v>
      </c>
      <c r="U462" s="201"/>
      <c r="V462" s="226">
        <f>IF(C462="",NA(),IF(OR(C462="Smelter not listed",C462="Smelter not yet identified"),MATCH($B462&amp;$D462,'Smelter Look-up'!$J:$J,0),MATCH($B462&amp;$C462,'Smelter Look-up'!$J:$J,0)))</f>
        <v>266</v>
      </c>
      <c r="X462" s="227">
        <f t="shared" si="66"/>
        <v>0</v>
      </c>
      <c r="AB462" s="228" t="str">
        <f t="shared" si="67"/>
        <v>GoldSingway Technology Co., Ltd.</v>
      </c>
    </row>
    <row r="463" spans="1:28" s="227" customFormat="1" ht="67.5">
      <c r="A463" s="301" t="s">
        <v>1382</v>
      </c>
      <c r="B463" s="293" t="s">
        <v>1119</v>
      </c>
      <c r="C463" s="294" t="s">
        <v>1381</v>
      </c>
      <c r="D463" s="295" t="s">
        <v>1381</v>
      </c>
      <c r="E463" s="293" t="s">
        <v>2414</v>
      </c>
      <c r="F463" s="293" t="s">
        <v>1382</v>
      </c>
      <c r="G463" s="293" t="s">
        <v>13217</v>
      </c>
      <c r="H463" s="296" t="s">
        <v>15855</v>
      </c>
      <c r="I463" s="297" t="s">
        <v>1690</v>
      </c>
      <c r="J463" s="297" t="s">
        <v>1691</v>
      </c>
      <c r="K463" s="298" t="s">
        <v>15855</v>
      </c>
      <c r="L463" s="298" t="s">
        <v>15855</v>
      </c>
      <c r="M463" s="298" t="s">
        <v>15855</v>
      </c>
      <c r="N463" s="298" t="s">
        <v>15855</v>
      </c>
      <c r="O463" s="298" t="s">
        <v>15858</v>
      </c>
      <c r="P463" s="299" t="s">
        <v>15857</v>
      </c>
      <c r="Q463" s="300" t="s">
        <v>15855</v>
      </c>
      <c r="R463" s="182" t="str">
        <f ca="1">IF(ISERROR($V463),"",OFFSET('Smelter Look-up'!$C$4,$V463-4,0)&amp;"")</f>
        <v>Singway Technology Co., Ltd.</v>
      </c>
      <c r="S463" s="181" t="str">
        <f t="shared" ca="1" si="65"/>
        <v>TW</v>
      </c>
      <c r="T463" s="181" t="str">
        <f ca="1">IF(B463="","",IF(ISERROR(MATCH($J463,SorP!$B$1:$B$6226,0)),"",INDIRECT("'SorP'!$A$"&amp;MATCH($S463&amp;$J463,SorP!C:C,0))))</f>
        <v>TW-TAO</v>
      </c>
      <c r="U463" s="201"/>
      <c r="V463" s="226">
        <f>IF(C463="",NA(),IF(OR(C463="Smelter not listed",C463="Smelter not yet identified"),MATCH($B463&amp;$D463,'Smelter Look-up'!$J:$J,0),MATCH($B463&amp;$C463,'Smelter Look-up'!$J:$J,0)))</f>
        <v>266</v>
      </c>
      <c r="X463" s="227">
        <f t="shared" si="66"/>
        <v>0</v>
      </c>
      <c r="AB463" s="228" t="str">
        <f t="shared" si="67"/>
        <v>GoldSingway Technology Co., Ltd.</v>
      </c>
    </row>
    <row r="464" spans="1:28" s="227" customFormat="1" ht="67.5">
      <c r="A464" s="301" t="s">
        <v>1382</v>
      </c>
      <c r="B464" s="293" t="s">
        <v>1119</v>
      </c>
      <c r="C464" s="294" t="s">
        <v>1381</v>
      </c>
      <c r="D464" s="295" t="s">
        <v>1381</v>
      </c>
      <c r="E464" s="293" t="s">
        <v>2414</v>
      </c>
      <c r="F464" s="293" t="s">
        <v>1382</v>
      </c>
      <c r="G464" s="293" t="s">
        <v>13217</v>
      </c>
      <c r="H464" s="296" t="s">
        <v>15855</v>
      </c>
      <c r="I464" s="297" t="s">
        <v>1690</v>
      </c>
      <c r="J464" s="297" t="s">
        <v>1691</v>
      </c>
      <c r="K464" s="298" t="s">
        <v>16255</v>
      </c>
      <c r="L464" s="298" t="s">
        <v>16256</v>
      </c>
      <c r="M464" s="298" t="s">
        <v>15869</v>
      </c>
      <c r="N464" s="298" t="s">
        <v>15870</v>
      </c>
      <c r="O464" s="298" t="s">
        <v>16257</v>
      </c>
      <c r="P464" s="299" t="s">
        <v>15857</v>
      </c>
      <c r="Q464" s="300" t="s">
        <v>15855</v>
      </c>
      <c r="R464" s="182" t="str">
        <f ca="1">IF(ISERROR($V464),"",OFFSET('Smelter Look-up'!$C$4,$V464-4,0)&amp;"")</f>
        <v>Singway Technology Co., Ltd.</v>
      </c>
      <c r="S464" s="181" t="str">
        <f t="shared" ca="1" si="65"/>
        <v>TW</v>
      </c>
      <c r="T464" s="181" t="str">
        <f ca="1">IF(B464="","",IF(ISERROR(MATCH($J464,SorP!$B$1:$B$6226,0)),"",INDIRECT("'SorP'!$A$"&amp;MATCH($S464&amp;$J464,SorP!C:C,0))))</f>
        <v>TW-TAO</v>
      </c>
      <c r="U464" s="201"/>
      <c r="V464" s="226">
        <f>IF(C464="",NA(),IF(OR(C464="Smelter not listed",C464="Smelter not yet identified"),MATCH($B464&amp;$D464,'Smelter Look-up'!$J:$J,0),MATCH($B464&amp;$C464,'Smelter Look-up'!$J:$J,0)))</f>
        <v>266</v>
      </c>
      <c r="X464" s="227">
        <f t="shared" si="66"/>
        <v>0</v>
      </c>
      <c r="AB464" s="228" t="str">
        <f t="shared" si="67"/>
        <v>GoldSingway Technology Co., Ltd.</v>
      </c>
    </row>
    <row r="465" spans="1:28" s="227" customFormat="1" ht="121.5">
      <c r="A465" s="301" t="s">
        <v>723</v>
      </c>
      <c r="B465" s="293" t="s">
        <v>1119</v>
      </c>
      <c r="C465" s="294" t="s">
        <v>904</v>
      </c>
      <c r="D465" s="295" t="s">
        <v>904</v>
      </c>
      <c r="E465" s="293" t="s">
        <v>873</v>
      </c>
      <c r="F465" s="293" t="s">
        <v>723</v>
      </c>
      <c r="G465" s="293" t="s">
        <v>13217</v>
      </c>
      <c r="H465" s="296" t="s">
        <v>15855</v>
      </c>
      <c r="I465" s="297" t="s">
        <v>1652</v>
      </c>
      <c r="J465" s="297" t="s">
        <v>9937</v>
      </c>
      <c r="K465" s="298" t="s">
        <v>15855</v>
      </c>
      <c r="L465" s="298" t="s">
        <v>15855</v>
      </c>
      <c r="M465" s="298" t="s">
        <v>15855</v>
      </c>
      <c r="N465" s="298" t="s">
        <v>15855</v>
      </c>
      <c r="O465" s="298" t="s">
        <v>15858</v>
      </c>
      <c r="P465" s="299" t="s">
        <v>15857</v>
      </c>
      <c r="Q465" s="300" t="s">
        <v>15855</v>
      </c>
      <c r="R465" s="182" t="str">
        <f ca="1">IF(ISERROR($V465),"",OFFSET('Smelter Look-up'!$C$4,$V465-4,0)&amp;"")</f>
        <v>SOE Shyolkovsky Factory of Secondary Precious Metals</v>
      </c>
      <c r="S465" s="181" t="str">
        <f t="shared" ca="1" si="65"/>
        <v>RU</v>
      </c>
      <c r="T465" s="181" t="str">
        <f ca="1">IF(B465="","",IF(ISERROR(MATCH($J465,SorP!$B$1:$B$6226,0)),"",INDIRECT("'SorP'!$A$"&amp;MATCH($S465&amp;$J465,SorP!C:C,0))))</f>
        <v>RU-MOS</v>
      </c>
      <c r="U465" s="201"/>
      <c r="V465" s="226">
        <f>IF(C465="",NA(),IF(OR(C465="Smelter not listed",C465="Smelter not yet identified"),MATCH($B465&amp;$D465,'Smelter Look-up'!$J:$J,0),MATCH($B465&amp;$C465,'Smelter Look-up'!$J:$J,0)))</f>
        <v>268</v>
      </c>
      <c r="X465" s="227">
        <f t="shared" si="66"/>
        <v>0</v>
      </c>
      <c r="AB465" s="228" t="str">
        <f t="shared" si="67"/>
        <v>GoldSOE Shyolkovsky Factory of Secondary Precious Metals</v>
      </c>
    </row>
    <row r="466" spans="1:28" s="227" customFormat="1" ht="67.5">
      <c r="A466" s="301" t="s">
        <v>724</v>
      </c>
      <c r="B466" s="293" t="s">
        <v>1119</v>
      </c>
      <c r="C466" s="294" t="s">
        <v>905</v>
      </c>
      <c r="D466" s="295" t="s">
        <v>905</v>
      </c>
      <c r="E466" s="293" t="s">
        <v>2414</v>
      </c>
      <c r="F466" s="293" t="s">
        <v>724</v>
      </c>
      <c r="G466" s="293" t="s">
        <v>13217</v>
      </c>
      <c r="H466" s="296" t="s">
        <v>15855</v>
      </c>
      <c r="I466" s="297" t="s">
        <v>1653</v>
      </c>
      <c r="J466" s="297" t="s">
        <v>11489</v>
      </c>
      <c r="K466" s="298" t="s">
        <v>15855</v>
      </c>
      <c r="L466" s="298" t="s">
        <v>15855</v>
      </c>
      <c r="M466" s="298" t="s">
        <v>15855</v>
      </c>
      <c r="N466" s="298" t="s">
        <v>15855</v>
      </c>
      <c r="O466" s="298" t="s">
        <v>15855</v>
      </c>
      <c r="P466" s="299" t="s">
        <v>15857</v>
      </c>
      <c r="Q466" s="300" t="s">
        <v>15855</v>
      </c>
      <c r="R466" s="182" t="str">
        <f ca="1">IF(ISERROR($V466),"",OFFSET('Smelter Look-up'!$C$4,$V466-4,0)&amp;"")</f>
        <v>Solar Applied Materials Technology Corp.</v>
      </c>
      <c r="S466" s="181" t="str">
        <f t="shared" ca="1" si="65"/>
        <v>TW</v>
      </c>
      <c r="T466" s="181" t="str">
        <f ca="1">IF(B466="","",IF(ISERROR(MATCH($J466,SorP!$B$1:$B$6226,0)),"",INDIRECT("'SorP'!$A$"&amp;MATCH($S466&amp;$J466,SorP!C:C,0))))</f>
        <v>TW-TNN</v>
      </c>
      <c r="U466" s="201"/>
      <c r="V466" s="226">
        <f>IF(C466="",NA(),IF(OR(C466="Smelter not listed",C466="Smelter not yet identified"),MATCH($B466&amp;$D466,'Smelter Look-up'!$J:$J,0),MATCH($B466&amp;$C466,'Smelter Look-up'!$J:$J,0)))</f>
        <v>269</v>
      </c>
      <c r="X466" s="227">
        <f t="shared" si="66"/>
        <v>0</v>
      </c>
      <c r="AB466" s="228" t="str">
        <f t="shared" si="67"/>
        <v>GoldSolar Applied Materials Technology Corp.</v>
      </c>
    </row>
    <row r="467" spans="1:28" s="227" customFormat="1" ht="67.5">
      <c r="A467" s="301" t="s">
        <v>724</v>
      </c>
      <c r="B467" s="293" t="s">
        <v>1119</v>
      </c>
      <c r="C467" s="294" t="s">
        <v>905</v>
      </c>
      <c r="D467" s="295" t="s">
        <v>905</v>
      </c>
      <c r="E467" s="293" t="s">
        <v>2414</v>
      </c>
      <c r="F467" s="293" t="s">
        <v>724</v>
      </c>
      <c r="G467" s="293" t="s">
        <v>13217</v>
      </c>
      <c r="H467" s="296" t="s">
        <v>15855</v>
      </c>
      <c r="I467" s="297" t="s">
        <v>1653</v>
      </c>
      <c r="J467" s="297" t="s">
        <v>11489</v>
      </c>
      <c r="K467" s="298" t="s">
        <v>15855</v>
      </c>
      <c r="L467" s="298" t="s">
        <v>15855</v>
      </c>
      <c r="M467" s="298" t="s">
        <v>15855</v>
      </c>
      <c r="N467" s="298" t="s">
        <v>15855</v>
      </c>
      <c r="O467" s="298" t="s">
        <v>15858</v>
      </c>
      <c r="P467" s="299" t="s">
        <v>15857</v>
      </c>
      <c r="Q467" s="300" t="s">
        <v>15855</v>
      </c>
      <c r="R467" s="182" t="str">
        <f ca="1">IF(ISERROR($V467),"",OFFSET('Smelter Look-up'!$C$4,$V467-4,0)&amp;"")</f>
        <v>Solar Applied Materials Technology Corp.</v>
      </c>
      <c r="S467" s="181" t="str">
        <f t="shared" ca="1" si="65"/>
        <v>TW</v>
      </c>
      <c r="T467" s="181" t="str">
        <f ca="1">IF(B467="","",IF(ISERROR(MATCH($J467,SorP!$B$1:$B$6226,0)),"",INDIRECT("'SorP'!$A$"&amp;MATCH($S467&amp;$J467,SorP!C:C,0))))</f>
        <v>TW-TNN</v>
      </c>
      <c r="U467" s="201"/>
      <c r="V467" s="226">
        <f>IF(C467="",NA(),IF(OR(C467="Smelter not listed",C467="Smelter not yet identified"),MATCH($B467&amp;$D467,'Smelter Look-up'!$J:$J,0),MATCH($B467&amp;$C467,'Smelter Look-up'!$J:$J,0)))</f>
        <v>269</v>
      </c>
      <c r="X467" s="227">
        <f t="shared" si="66"/>
        <v>0</v>
      </c>
      <c r="AB467" s="228" t="str">
        <f t="shared" si="67"/>
        <v>GoldSolar Applied Materials Technology Corp.</v>
      </c>
    </row>
    <row r="468" spans="1:28" s="227" customFormat="1" ht="67.5">
      <c r="A468" s="301" t="s">
        <v>724</v>
      </c>
      <c r="B468" s="293" t="s">
        <v>1119</v>
      </c>
      <c r="C468" s="294" t="s">
        <v>905</v>
      </c>
      <c r="D468" s="295" t="s">
        <v>905</v>
      </c>
      <c r="E468" s="293" t="s">
        <v>2414</v>
      </c>
      <c r="F468" s="293" t="s">
        <v>724</v>
      </c>
      <c r="G468" s="293" t="s">
        <v>13217</v>
      </c>
      <c r="H468" s="296" t="s">
        <v>15855</v>
      </c>
      <c r="I468" s="297" t="s">
        <v>1653</v>
      </c>
      <c r="J468" s="297" t="s">
        <v>11489</v>
      </c>
      <c r="K468" s="298" t="s">
        <v>16258</v>
      </c>
      <c r="L468" s="298" t="s">
        <v>16259</v>
      </c>
      <c r="M468" s="298" t="s">
        <v>16260</v>
      </c>
      <c r="N468" s="298" t="s">
        <v>15862</v>
      </c>
      <c r="O468" s="298" t="s">
        <v>15893</v>
      </c>
      <c r="P468" s="299" t="s">
        <v>15857</v>
      </c>
      <c r="Q468" s="300" t="s">
        <v>15855</v>
      </c>
      <c r="R468" s="182" t="str">
        <f ca="1">IF(ISERROR($V468),"",OFFSET('Smelter Look-up'!$C$4,$V468-4,0)&amp;"")</f>
        <v>Solar Applied Materials Technology Corp.</v>
      </c>
      <c r="S468" s="181" t="str">
        <f t="shared" ca="1" si="65"/>
        <v>TW</v>
      </c>
      <c r="T468" s="181" t="str">
        <f ca="1">IF(B468="","",IF(ISERROR(MATCH($J468,SorP!$B$1:$B$6226,0)),"",INDIRECT("'SorP'!$A$"&amp;MATCH($S468&amp;$J468,SorP!C:C,0))))</f>
        <v>TW-TNN</v>
      </c>
      <c r="U468" s="201"/>
      <c r="V468" s="226">
        <f>IF(C468="",NA(),IF(OR(C468="Smelter not listed",C468="Smelter not yet identified"),MATCH($B468&amp;$D468,'Smelter Look-up'!$J:$J,0),MATCH($B468&amp;$C468,'Smelter Look-up'!$J:$J,0)))</f>
        <v>269</v>
      </c>
      <c r="X468" s="227">
        <f t="shared" si="66"/>
        <v>0</v>
      </c>
      <c r="AB468" s="228" t="str">
        <f t="shared" si="67"/>
        <v>GoldSolar Applied Materials Technology Corp.</v>
      </c>
    </row>
    <row r="469" spans="1:28" s="227" customFormat="1" ht="67.5">
      <c r="A469" s="301" t="s">
        <v>724</v>
      </c>
      <c r="B469" s="293" t="s">
        <v>1119</v>
      </c>
      <c r="C469" s="294" t="s">
        <v>905</v>
      </c>
      <c r="D469" s="295" t="s">
        <v>905</v>
      </c>
      <c r="E469" s="293" t="s">
        <v>2414</v>
      </c>
      <c r="F469" s="293" t="s">
        <v>724</v>
      </c>
      <c r="G469" s="293" t="s">
        <v>13217</v>
      </c>
      <c r="H469" s="302" t="s">
        <v>15880</v>
      </c>
      <c r="I469" s="297" t="s">
        <v>1653</v>
      </c>
      <c r="J469" s="297" t="s">
        <v>11489</v>
      </c>
      <c r="K469" s="298" t="s">
        <v>15855</v>
      </c>
      <c r="L469" s="298" t="s">
        <v>15855</v>
      </c>
      <c r="M469" s="298" t="s">
        <v>15855</v>
      </c>
      <c r="N469" s="298" t="s">
        <v>15855</v>
      </c>
      <c r="O469" s="298" t="s">
        <v>15855</v>
      </c>
      <c r="P469" s="299" t="s">
        <v>15857</v>
      </c>
      <c r="Q469" s="300" t="s">
        <v>15855</v>
      </c>
      <c r="R469" s="182" t="str">
        <f ca="1">IF(ISERROR($V469),"",OFFSET('Smelter Look-up'!$C$4,$V469-4,0)&amp;"")</f>
        <v>Solar Applied Materials Technology Corp.</v>
      </c>
      <c r="S469" s="181" t="str">
        <f t="shared" ca="1" si="65"/>
        <v>TW</v>
      </c>
      <c r="T469" s="181" t="str">
        <f ca="1">IF(B469="","",IF(ISERROR(MATCH($J469,SorP!$B$1:$B$6226,0)),"",INDIRECT("'SorP'!$A$"&amp;MATCH($S469&amp;$J469,SorP!C:C,0))))</f>
        <v>TW-TNN</v>
      </c>
      <c r="U469" s="201"/>
      <c r="V469" s="226">
        <f>IF(C469="",NA(),IF(OR(C469="Smelter not listed",C469="Smelter not yet identified"),MATCH($B469&amp;$D469,'Smelter Look-up'!$J:$J,0),MATCH($B469&amp;$C469,'Smelter Look-up'!$J:$J,0)))</f>
        <v>269</v>
      </c>
      <c r="X469" s="227">
        <f t="shared" si="66"/>
        <v>0</v>
      </c>
      <c r="AB469" s="228" t="str">
        <f t="shared" si="67"/>
        <v>GoldSolar Applied Materials Technology Corp.</v>
      </c>
    </row>
    <row r="470" spans="1:28" s="227" customFormat="1" ht="67.5">
      <c r="A470" s="301" t="s">
        <v>724</v>
      </c>
      <c r="B470" s="293" t="s">
        <v>1119</v>
      </c>
      <c r="C470" s="294" t="s">
        <v>905</v>
      </c>
      <c r="D470" s="295" t="s">
        <v>905</v>
      </c>
      <c r="E470" s="293" t="s">
        <v>2414</v>
      </c>
      <c r="F470" s="293" t="s">
        <v>724</v>
      </c>
      <c r="G470" s="293" t="s">
        <v>13217</v>
      </c>
      <c r="H470" s="302" t="s">
        <v>15880</v>
      </c>
      <c r="I470" s="297" t="s">
        <v>1653</v>
      </c>
      <c r="J470" s="297" t="s">
        <v>11489</v>
      </c>
      <c r="K470" s="298" t="s">
        <v>16261</v>
      </c>
      <c r="L470" s="298" t="s">
        <v>16262</v>
      </c>
      <c r="M470" s="298" t="s">
        <v>2334</v>
      </c>
      <c r="N470" s="298" t="s">
        <v>16017</v>
      </c>
      <c r="O470" s="298" t="s">
        <v>16017</v>
      </c>
      <c r="P470" s="299" t="s">
        <v>15857</v>
      </c>
      <c r="Q470" s="300" t="s">
        <v>15855</v>
      </c>
      <c r="R470" s="182" t="str">
        <f ca="1">IF(ISERROR($V470),"",OFFSET('Smelter Look-up'!$C$4,$V470-4,0)&amp;"")</f>
        <v>Solar Applied Materials Technology Corp.</v>
      </c>
      <c r="S470" s="181" t="str">
        <f t="shared" ca="1" si="65"/>
        <v>TW</v>
      </c>
      <c r="T470" s="181" t="str">
        <f ca="1">IF(B470="","",IF(ISERROR(MATCH($J470,SorP!$B$1:$B$6226,0)),"",INDIRECT("'SorP'!$A$"&amp;MATCH($S470&amp;$J470,SorP!C:C,0))))</f>
        <v>TW-TNN</v>
      </c>
      <c r="U470" s="201"/>
      <c r="V470" s="226">
        <f>IF(C470="",NA(),IF(OR(C470="Smelter not listed",C470="Smelter not yet identified"),MATCH($B470&amp;$D470,'Smelter Look-up'!$J:$J,0),MATCH($B470&amp;$C470,'Smelter Look-up'!$J:$J,0)))</f>
        <v>269</v>
      </c>
      <c r="X470" s="227">
        <f t="shared" si="66"/>
        <v>0</v>
      </c>
      <c r="AB470" s="228" t="str">
        <f t="shared" si="67"/>
        <v>GoldSolar Applied Materials Technology Corp.</v>
      </c>
    </row>
    <row r="471" spans="1:28" s="227" customFormat="1" ht="27">
      <c r="A471" s="301" t="s">
        <v>724</v>
      </c>
      <c r="B471" s="293" t="s">
        <v>1119</v>
      </c>
      <c r="C471" s="294" t="s">
        <v>30</v>
      </c>
      <c r="D471" s="295" t="s">
        <v>905</v>
      </c>
      <c r="E471" s="293" t="s">
        <v>2414</v>
      </c>
      <c r="F471" s="293" t="s">
        <v>724</v>
      </c>
      <c r="G471" s="293" t="s">
        <v>13217</v>
      </c>
      <c r="H471" s="296" t="s">
        <v>15855</v>
      </c>
      <c r="I471" s="297" t="s">
        <v>1653</v>
      </c>
      <c r="J471" s="297" t="s">
        <v>11489</v>
      </c>
      <c r="K471" s="298" t="s">
        <v>15855</v>
      </c>
      <c r="L471" s="298" t="s">
        <v>15855</v>
      </c>
      <c r="M471" s="298" t="s">
        <v>15855</v>
      </c>
      <c r="N471" s="298" t="s">
        <v>15855</v>
      </c>
      <c r="O471" s="298" t="s">
        <v>15855</v>
      </c>
      <c r="P471" s="299" t="s">
        <v>15857</v>
      </c>
      <c r="Q471" s="300" t="s">
        <v>15855</v>
      </c>
      <c r="R471" s="182" t="str">
        <f ca="1">IF(ISERROR($V471),"",OFFSET('Smelter Look-up'!$C$4,$V471-4,0)&amp;"")</f>
        <v>Solar Applied Materials Technology Corp.</v>
      </c>
      <c r="S471" s="181" t="str">
        <f t="shared" ca="1" si="65"/>
        <v>TW</v>
      </c>
      <c r="T471" s="181" t="str">
        <f ca="1">IF(B471="","",IF(ISERROR(MATCH($J471,SorP!$B$1:$B$6226,0)),"",INDIRECT("'SorP'!$A$"&amp;MATCH($S471&amp;$J471,SorP!C:C,0))))</f>
        <v>TW-TNN</v>
      </c>
      <c r="U471" s="201"/>
      <c r="V471" s="226">
        <f>IF(C471="",NA(),IF(OR(C471="Smelter not listed",C471="Smelter not yet identified"),MATCH($B471&amp;$D471,'Smelter Look-up'!$J:$J,0),MATCH($B471&amp;$C471,'Smelter Look-up'!$J:$J,0)))</f>
        <v>271</v>
      </c>
      <c r="X471" s="227">
        <f t="shared" si="66"/>
        <v>0</v>
      </c>
      <c r="AB471" s="228" t="str">
        <f t="shared" si="67"/>
        <v>GoldSolartech</v>
      </c>
    </row>
    <row r="472" spans="1:28" s="227" customFormat="1" ht="40.5">
      <c r="A472" s="301" t="s">
        <v>13773</v>
      </c>
      <c r="B472" s="293" t="s">
        <v>1119</v>
      </c>
      <c r="C472" s="294" t="s">
        <v>13772</v>
      </c>
      <c r="D472" s="295" t="s">
        <v>13772</v>
      </c>
      <c r="E472" s="293" t="s">
        <v>1096</v>
      </c>
      <c r="F472" s="293" t="s">
        <v>13773</v>
      </c>
      <c r="G472" s="293" t="s">
        <v>13217</v>
      </c>
      <c r="H472" s="296" t="s">
        <v>15855</v>
      </c>
      <c r="I472" s="297" t="s">
        <v>15105</v>
      </c>
      <c r="J472" s="297" t="s">
        <v>15543</v>
      </c>
      <c r="K472" s="298" t="s">
        <v>15855</v>
      </c>
      <c r="L472" s="298" t="s">
        <v>15855</v>
      </c>
      <c r="M472" s="298" t="s">
        <v>15855</v>
      </c>
      <c r="N472" s="298" t="s">
        <v>15855</v>
      </c>
      <c r="O472" s="298" t="s">
        <v>15858</v>
      </c>
      <c r="P472" s="299" t="s">
        <v>15857</v>
      </c>
      <c r="Q472" s="300" t="s">
        <v>15855</v>
      </c>
      <c r="R472" s="182" t="str">
        <f ca="1">IF(ISERROR($V472),"",OFFSET('Smelter Look-up'!$C$4,$V472-4,0)&amp;"")</f>
        <v>Sovereign Metals</v>
      </c>
      <c r="S472" s="181" t="str">
        <f t="shared" ca="1" si="65"/>
        <v>IN</v>
      </c>
      <c r="T472" s="181" t="str">
        <f ca="1">IF(B472="","",IF(ISERROR(MATCH($J472,SorP!$B$1:$B$6226,0)),"",INDIRECT("'SorP'!$A$"&amp;MATCH($S472&amp;$J472,SorP!C:C,0))))</f>
        <v>IN-GJ</v>
      </c>
      <c r="U472" s="201"/>
      <c r="V472" s="226">
        <f>IF(C472="",NA(),IF(OR(C472="Smelter not listed",C472="Smelter not yet identified"),MATCH($B472&amp;$D472,'Smelter Look-up'!$J:$J,0),MATCH($B472&amp;$C472,'Smelter Look-up'!$J:$J,0)))</f>
        <v>272</v>
      </c>
      <c r="X472" s="227">
        <f t="shared" si="66"/>
        <v>0</v>
      </c>
      <c r="AB472" s="228" t="str">
        <f t="shared" si="67"/>
        <v>GoldSovereign Metals</v>
      </c>
    </row>
    <row r="473" spans="1:28" s="227" customFormat="1" ht="148.5">
      <c r="A473" s="301" t="s">
        <v>2503</v>
      </c>
      <c r="B473" s="293" t="s">
        <v>1119</v>
      </c>
      <c r="C473" s="294" t="s">
        <v>2502</v>
      </c>
      <c r="D473" s="295" t="s">
        <v>2502</v>
      </c>
      <c r="E473" s="293" t="s">
        <v>1102</v>
      </c>
      <c r="F473" s="293" t="s">
        <v>2503</v>
      </c>
      <c r="G473" s="293" t="s">
        <v>13217</v>
      </c>
      <c r="H473" s="296" t="s">
        <v>15855</v>
      </c>
      <c r="I473" s="297" t="s">
        <v>2504</v>
      </c>
      <c r="J473" s="297" t="s">
        <v>2504</v>
      </c>
      <c r="K473" s="298" t="s">
        <v>15855</v>
      </c>
      <c r="L473" s="298" t="s">
        <v>15855</v>
      </c>
      <c r="M473" s="298" t="s">
        <v>15855</v>
      </c>
      <c r="N473" s="298" t="s">
        <v>15855</v>
      </c>
      <c r="O473" s="298" t="s">
        <v>15858</v>
      </c>
      <c r="P473" s="299" t="s">
        <v>15857</v>
      </c>
      <c r="Q473" s="300" t="s">
        <v>15855</v>
      </c>
      <c r="R473" s="182" t="str">
        <f ca="1">IF(ISERROR($V473),"",OFFSET('Smelter Look-up'!$C$4,$V473-4,0)&amp;"")</f>
        <v>State Research Institute Center for Physical Sciences and Technology</v>
      </c>
      <c r="S473" s="181" t="str">
        <f t="shared" ca="1" si="65"/>
        <v>LT</v>
      </c>
      <c r="T473" s="181" t="str">
        <f ca="1">IF(B473="","",IF(ISERROR(MATCH($J473,SorP!$B$1:$B$6226,0)),"",INDIRECT("'SorP'!$A$"&amp;MATCH($S473&amp;$J473,SorP!C:C,0))))</f>
        <v>LT-58</v>
      </c>
      <c r="U473" s="201"/>
      <c r="V473" s="226">
        <f>IF(C473="",NA(),IF(OR(C473="Smelter not listed",C473="Smelter not yet identified"),MATCH($B473&amp;$D473,'Smelter Look-up'!$J:$J,0),MATCH($B473&amp;$C473,'Smelter Look-up'!$J:$J,0)))</f>
        <v>273</v>
      </c>
      <c r="X473" s="227">
        <f t="shared" si="66"/>
        <v>0</v>
      </c>
      <c r="AB473" s="228" t="str">
        <f t="shared" si="67"/>
        <v>GoldState Research Institute Center for Physical Sciences and Technology</v>
      </c>
    </row>
    <row r="474" spans="1:28" s="227" customFormat="1" ht="40.5">
      <c r="A474" s="301" t="s">
        <v>1700</v>
      </c>
      <c r="B474" s="293" t="s">
        <v>1119</v>
      </c>
      <c r="C474" s="294" t="s">
        <v>1699</v>
      </c>
      <c r="D474" s="295" t="s">
        <v>1699</v>
      </c>
      <c r="E474" s="293" t="s">
        <v>875</v>
      </c>
      <c r="F474" s="293" t="s">
        <v>1700</v>
      </c>
      <c r="G474" s="293" t="s">
        <v>13217</v>
      </c>
      <c r="H474" s="296" t="s">
        <v>15855</v>
      </c>
      <c r="I474" s="297" t="s">
        <v>1701</v>
      </c>
      <c r="J474" s="297" t="s">
        <v>1701</v>
      </c>
      <c r="K474" s="298" t="s">
        <v>15855</v>
      </c>
      <c r="L474" s="298" t="s">
        <v>15855</v>
      </c>
      <c r="M474" s="298" t="s">
        <v>15855</v>
      </c>
      <c r="N474" s="298" t="s">
        <v>15855</v>
      </c>
      <c r="O474" s="298" t="s">
        <v>15858</v>
      </c>
      <c r="P474" s="299" t="s">
        <v>15857</v>
      </c>
      <c r="Q474" s="300" t="s">
        <v>15855</v>
      </c>
      <c r="R474" s="182" t="str">
        <f ca="1">IF(ISERROR($V474),"",OFFSET('Smelter Look-up'!$C$4,$V474-4,0)&amp;"")</f>
        <v>Sudan Gold Refinery</v>
      </c>
      <c r="S474" s="181" t="str">
        <f t="shared" ca="1" si="65"/>
        <v>SD</v>
      </c>
      <c r="T474" s="181" t="str">
        <f ca="1">IF(B474="","",IF(ISERROR(MATCH($J474,SorP!$B$1:$B$6226,0)),"",INDIRECT("'SorP'!$A$"&amp;MATCH($S474&amp;$J474,SorP!C:C,0))))</f>
        <v>SD-KH</v>
      </c>
      <c r="U474" s="201"/>
      <c r="V474" s="226">
        <f>IF(C474="",NA(),IF(OR(C474="Smelter not listed",C474="Smelter not yet identified"),MATCH($B474&amp;$D474,'Smelter Look-up'!$J:$J,0),MATCH($B474&amp;$C474,'Smelter Look-up'!$J:$J,0)))</f>
        <v>274</v>
      </c>
      <c r="X474" s="227">
        <f t="shared" si="66"/>
        <v>0</v>
      </c>
      <c r="AB474" s="228" t="str">
        <f t="shared" si="67"/>
        <v>GoldSudan Gold Refinery</v>
      </c>
    </row>
    <row r="475" spans="1:28" s="227" customFormat="1" ht="27">
      <c r="A475" s="301" t="s">
        <v>725</v>
      </c>
      <c r="B475" s="293" t="s">
        <v>1119</v>
      </c>
      <c r="C475" s="294" t="s">
        <v>1011</v>
      </c>
      <c r="D475" s="295" t="s">
        <v>55</v>
      </c>
      <c r="E475" s="293" t="s">
        <v>1098</v>
      </c>
      <c r="F475" s="293" t="s">
        <v>725</v>
      </c>
      <c r="G475" s="293" t="s">
        <v>15865</v>
      </c>
      <c r="H475" s="296" t="s">
        <v>15855</v>
      </c>
      <c r="I475" s="297" t="s">
        <v>1654</v>
      </c>
      <c r="J475" s="297" t="s">
        <v>2196</v>
      </c>
      <c r="K475" s="298" t="s">
        <v>15855</v>
      </c>
      <c r="L475" s="298" t="s">
        <v>15855</v>
      </c>
      <c r="M475" s="298" t="s">
        <v>15855</v>
      </c>
      <c r="N475" s="298" t="s">
        <v>15855</v>
      </c>
      <c r="O475" s="298" t="s">
        <v>15855</v>
      </c>
      <c r="P475" s="299" t="s">
        <v>15857</v>
      </c>
      <c r="Q475" s="300" t="s">
        <v>15855</v>
      </c>
      <c r="R475" s="182" t="str">
        <f ca="1">IF(ISERROR($V475),"",OFFSET('Smelter Look-up'!$C$4,$V475-4,0)&amp;"")</f>
        <v>Sumitomo Metal Mining Co., Ltd.</v>
      </c>
      <c r="S475" s="181" t="str">
        <f t="shared" ca="1" si="65"/>
        <v>JP</v>
      </c>
      <c r="T475" s="181" t="str">
        <f ca="1">IF(B475="","",IF(ISERROR(MATCH($J475,SorP!$B$1:$B$6226,0)),"",INDIRECT("'SorP'!$A$"&amp;MATCH($S475&amp;$J475,SorP!C:C,0))))</f>
        <v>JP-38</v>
      </c>
      <c r="U475" s="201"/>
      <c r="V475" s="226">
        <f>IF(C475="",NA(),IF(OR(C475="Smelter not listed",C475="Smelter not yet identified"),MATCH($B475&amp;$D475,'Smelter Look-up'!$J:$J,0),MATCH($B475&amp;$C475,'Smelter Look-up'!$J:$J,0)))</f>
        <v>267</v>
      </c>
      <c r="X475" s="227">
        <f t="shared" si="66"/>
        <v>0</v>
      </c>
      <c r="AB475" s="228" t="str">
        <f t="shared" si="67"/>
        <v>GoldSMM</v>
      </c>
    </row>
    <row r="476" spans="1:28" s="227" customFormat="1" ht="67.5">
      <c r="A476" s="301" t="s">
        <v>725</v>
      </c>
      <c r="B476" s="293" t="s">
        <v>1119</v>
      </c>
      <c r="C476" s="294" t="s">
        <v>55</v>
      </c>
      <c r="D476" s="295" t="s">
        <v>55</v>
      </c>
      <c r="E476" s="293" t="s">
        <v>1098</v>
      </c>
      <c r="F476" s="293" t="s">
        <v>725</v>
      </c>
      <c r="G476" s="293" t="s">
        <v>13217</v>
      </c>
      <c r="H476" s="296" t="s">
        <v>15855</v>
      </c>
      <c r="I476" s="297" t="s">
        <v>1654</v>
      </c>
      <c r="J476" s="297" t="s">
        <v>2196</v>
      </c>
      <c r="K476" s="298" t="s">
        <v>15855</v>
      </c>
      <c r="L476" s="298" t="s">
        <v>15855</v>
      </c>
      <c r="M476" s="298" t="s">
        <v>15855</v>
      </c>
      <c r="N476" s="298" t="s">
        <v>15855</v>
      </c>
      <c r="O476" s="298" t="s">
        <v>15855</v>
      </c>
      <c r="P476" s="299" t="s">
        <v>15857</v>
      </c>
      <c r="Q476" s="300" t="s">
        <v>15855</v>
      </c>
      <c r="R476" s="182" t="str">
        <f ca="1">IF(ISERROR($V476),"",OFFSET('Smelter Look-up'!$C$4,$V476-4,0)&amp;"")</f>
        <v>Sumitomo Metal Mining Co., Ltd.</v>
      </c>
      <c r="S476" s="181" t="str">
        <f t="shared" ca="1" si="65"/>
        <v>JP</v>
      </c>
      <c r="T476" s="181" t="str">
        <f ca="1">IF(B476="","",IF(ISERROR(MATCH($J476,SorP!$B$1:$B$6226,0)),"",INDIRECT("'SorP'!$A$"&amp;MATCH($S476&amp;$J476,SorP!C:C,0))))</f>
        <v>JP-38</v>
      </c>
      <c r="U476" s="201"/>
      <c r="V476" s="226">
        <f>IF(C476="",NA(),IF(OR(C476="Smelter not listed",C476="Smelter not yet identified"),MATCH($B476&amp;$D476,'Smelter Look-up'!$J:$J,0),MATCH($B476&amp;$C476,'Smelter Look-up'!$J:$J,0)))</f>
        <v>276</v>
      </c>
      <c r="X476" s="227">
        <f t="shared" si="66"/>
        <v>0</v>
      </c>
      <c r="AB476" s="228" t="str">
        <f t="shared" si="67"/>
        <v>GoldSumitomo Metal Mining Co., Ltd.</v>
      </c>
    </row>
    <row r="477" spans="1:28" s="227" customFormat="1" ht="67.5">
      <c r="A477" s="301" t="s">
        <v>725</v>
      </c>
      <c r="B477" s="293" t="s">
        <v>1119</v>
      </c>
      <c r="C477" s="294" t="s">
        <v>55</v>
      </c>
      <c r="D477" s="295" t="s">
        <v>55</v>
      </c>
      <c r="E477" s="293" t="s">
        <v>1098</v>
      </c>
      <c r="F477" s="293" t="s">
        <v>725</v>
      </c>
      <c r="G477" s="293" t="s">
        <v>13217</v>
      </c>
      <c r="H477" s="296" t="s">
        <v>15855</v>
      </c>
      <c r="I477" s="297" t="s">
        <v>1654</v>
      </c>
      <c r="J477" s="297" t="s">
        <v>2196</v>
      </c>
      <c r="K477" s="298" t="s">
        <v>15855</v>
      </c>
      <c r="L477" s="298" t="s">
        <v>15855</v>
      </c>
      <c r="M477" s="298" t="s">
        <v>15855</v>
      </c>
      <c r="N477" s="298" t="s">
        <v>15855</v>
      </c>
      <c r="O477" s="298" t="s">
        <v>15855</v>
      </c>
      <c r="P477" s="299" t="s">
        <v>15875</v>
      </c>
      <c r="Q477" s="300" t="s">
        <v>15855</v>
      </c>
      <c r="R477" s="182" t="str">
        <f ca="1">IF(ISERROR($V477),"",OFFSET('Smelter Look-up'!$C$4,$V477-4,0)&amp;"")</f>
        <v>Sumitomo Metal Mining Co., Ltd.</v>
      </c>
      <c r="S477" s="181" t="str">
        <f t="shared" ca="1" si="65"/>
        <v>JP</v>
      </c>
      <c r="T477" s="181" t="str">
        <f ca="1">IF(B477="","",IF(ISERROR(MATCH($J477,SorP!$B$1:$B$6226,0)),"",INDIRECT("'SorP'!$A$"&amp;MATCH($S477&amp;$J477,SorP!C:C,0))))</f>
        <v>JP-38</v>
      </c>
      <c r="U477" s="201"/>
      <c r="V477" s="226">
        <f>IF(C477="",NA(),IF(OR(C477="Smelter not listed",C477="Smelter not yet identified"),MATCH($B477&amp;$D477,'Smelter Look-up'!$J:$J,0),MATCH($B477&amp;$C477,'Smelter Look-up'!$J:$J,0)))</f>
        <v>276</v>
      </c>
      <c r="X477" s="227">
        <f t="shared" si="66"/>
        <v>0</v>
      </c>
      <c r="AB477" s="228" t="str">
        <f t="shared" si="67"/>
        <v>GoldSumitomo Metal Mining Co., Ltd.</v>
      </c>
    </row>
    <row r="478" spans="1:28" s="227" customFormat="1" ht="67.5">
      <c r="A478" s="301" t="s">
        <v>725</v>
      </c>
      <c r="B478" s="293" t="s">
        <v>1119</v>
      </c>
      <c r="C478" s="294" t="s">
        <v>55</v>
      </c>
      <c r="D478" s="295" t="s">
        <v>55</v>
      </c>
      <c r="E478" s="293" t="s">
        <v>1098</v>
      </c>
      <c r="F478" s="293" t="s">
        <v>725</v>
      </c>
      <c r="G478" s="293" t="s">
        <v>13217</v>
      </c>
      <c r="H478" s="296" t="s">
        <v>15855</v>
      </c>
      <c r="I478" s="297" t="s">
        <v>1654</v>
      </c>
      <c r="J478" s="297" t="s">
        <v>2196</v>
      </c>
      <c r="K478" s="298" t="s">
        <v>15855</v>
      </c>
      <c r="L478" s="298" t="s">
        <v>15855</v>
      </c>
      <c r="M478" s="298" t="s">
        <v>15855</v>
      </c>
      <c r="N478" s="298" t="s">
        <v>15855</v>
      </c>
      <c r="O478" s="298" t="s">
        <v>16263</v>
      </c>
      <c r="P478" s="299" t="s">
        <v>15857</v>
      </c>
      <c r="Q478" s="300" t="s">
        <v>15855</v>
      </c>
      <c r="R478" s="182" t="str">
        <f ca="1">IF(ISERROR($V478),"",OFFSET('Smelter Look-up'!$C$4,$V478-4,0)&amp;"")</f>
        <v>Sumitomo Metal Mining Co., Ltd.</v>
      </c>
      <c r="S478" s="181" t="str">
        <f t="shared" ca="1" si="65"/>
        <v>JP</v>
      </c>
      <c r="T478" s="181" t="str">
        <f ca="1">IF(B478="","",IF(ISERROR(MATCH($J478,SorP!$B$1:$B$6226,0)),"",INDIRECT("'SorP'!$A$"&amp;MATCH($S478&amp;$J478,SorP!C:C,0))))</f>
        <v>JP-38</v>
      </c>
      <c r="U478" s="201"/>
      <c r="V478" s="226">
        <f>IF(C478="",NA(),IF(OR(C478="Smelter not listed",C478="Smelter not yet identified"),MATCH($B478&amp;$D478,'Smelter Look-up'!$J:$J,0),MATCH($B478&amp;$C478,'Smelter Look-up'!$J:$J,0)))</f>
        <v>276</v>
      </c>
      <c r="X478" s="227">
        <f t="shared" si="66"/>
        <v>0</v>
      </c>
      <c r="AB478" s="228" t="str">
        <f t="shared" si="67"/>
        <v>GoldSumitomo Metal Mining Co., Ltd.</v>
      </c>
    </row>
    <row r="479" spans="1:28" s="227" customFormat="1" ht="67.5">
      <c r="A479" s="301" t="s">
        <v>725</v>
      </c>
      <c r="B479" s="293" t="s">
        <v>1119</v>
      </c>
      <c r="C479" s="294" t="s">
        <v>55</v>
      </c>
      <c r="D479" s="295" t="s">
        <v>55</v>
      </c>
      <c r="E479" s="293" t="s">
        <v>1098</v>
      </c>
      <c r="F479" s="293" t="s">
        <v>725</v>
      </c>
      <c r="G479" s="293" t="s">
        <v>13217</v>
      </c>
      <c r="H479" s="296" t="s">
        <v>15855</v>
      </c>
      <c r="I479" s="297" t="s">
        <v>1654</v>
      </c>
      <c r="J479" s="297" t="s">
        <v>2196</v>
      </c>
      <c r="K479" s="298" t="s">
        <v>16264</v>
      </c>
      <c r="L479" s="298" t="s">
        <v>16265</v>
      </c>
      <c r="M479" s="298" t="s">
        <v>16266</v>
      </c>
      <c r="N479" s="298" t="s">
        <v>16267</v>
      </c>
      <c r="O479" s="298" t="s">
        <v>16268</v>
      </c>
      <c r="P479" s="299" t="s">
        <v>15857</v>
      </c>
      <c r="Q479" s="300" t="s">
        <v>15855</v>
      </c>
      <c r="R479" s="182" t="str">
        <f ca="1">IF(ISERROR($V479),"",OFFSET('Smelter Look-up'!$C$4,$V479-4,0)&amp;"")</f>
        <v>Sumitomo Metal Mining Co., Ltd.</v>
      </c>
      <c r="S479" s="181" t="str">
        <f t="shared" ca="1" si="65"/>
        <v>JP</v>
      </c>
      <c r="T479" s="181" t="str">
        <f ca="1">IF(B479="","",IF(ISERROR(MATCH($J479,SorP!$B$1:$B$6226,0)),"",INDIRECT("'SorP'!$A$"&amp;MATCH($S479&amp;$J479,SorP!C:C,0))))</f>
        <v>JP-38</v>
      </c>
      <c r="U479" s="201"/>
      <c r="V479" s="226">
        <f>IF(C479="",NA(),IF(OR(C479="Smelter not listed",C479="Smelter not yet identified"),MATCH($B479&amp;$D479,'Smelter Look-up'!$J:$J,0),MATCH($B479&amp;$C479,'Smelter Look-up'!$J:$J,0)))</f>
        <v>276</v>
      </c>
      <c r="X479" s="227">
        <f t="shared" si="66"/>
        <v>0</v>
      </c>
      <c r="AB479" s="228" t="str">
        <f t="shared" si="67"/>
        <v>GoldSumitomo Metal Mining Co., Ltd.</v>
      </c>
    </row>
    <row r="480" spans="1:28" s="227" customFormat="1" ht="67.5">
      <c r="A480" s="301" t="s">
        <v>725</v>
      </c>
      <c r="B480" s="293" t="s">
        <v>1119</v>
      </c>
      <c r="C480" s="294" t="s">
        <v>55</v>
      </c>
      <c r="D480" s="295" t="s">
        <v>55</v>
      </c>
      <c r="E480" s="293" t="s">
        <v>1098</v>
      </c>
      <c r="F480" s="293" t="s">
        <v>725</v>
      </c>
      <c r="G480" s="293" t="s">
        <v>13217</v>
      </c>
      <c r="H480" s="302" t="s">
        <v>15880</v>
      </c>
      <c r="I480" s="297" t="s">
        <v>1654</v>
      </c>
      <c r="J480" s="297" t="s">
        <v>2196</v>
      </c>
      <c r="K480" s="298" t="s">
        <v>15855</v>
      </c>
      <c r="L480" s="298" t="s">
        <v>15855</v>
      </c>
      <c r="M480" s="298" t="s">
        <v>15855</v>
      </c>
      <c r="N480" s="298" t="s">
        <v>15855</v>
      </c>
      <c r="O480" s="298" t="s">
        <v>15855</v>
      </c>
      <c r="P480" s="299" t="s">
        <v>15857</v>
      </c>
      <c r="Q480" s="300" t="s">
        <v>15855</v>
      </c>
      <c r="R480" s="182" t="str">
        <f ca="1">IF(ISERROR($V480),"",OFFSET('Smelter Look-up'!$C$4,$V480-4,0)&amp;"")</f>
        <v>Sumitomo Metal Mining Co., Ltd.</v>
      </c>
      <c r="S480" s="181" t="str">
        <f t="shared" ca="1" si="65"/>
        <v>JP</v>
      </c>
      <c r="T480" s="181" t="str">
        <f ca="1">IF(B480="","",IF(ISERROR(MATCH($J480,SorP!$B$1:$B$6226,0)),"",INDIRECT("'SorP'!$A$"&amp;MATCH($S480&amp;$J480,SorP!C:C,0))))</f>
        <v>JP-38</v>
      </c>
      <c r="U480" s="201"/>
      <c r="V480" s="226">
        <f>IF(C480="",NA(),IF(OR(C480="Smelter not listed",C480="Smelter not yet identified"),MATCH($B480&amp;$D480,'Smelter Look-up'!$J:$J,0),MATCH($B480&amp;$C480,'Smelter Look-up'!$J:$J,0)))</f>
        <v>276</v>
      </c>
      <c r="X480" s="227">
        <f t="shared" si="66"/>
        <v>0</v>
      </c>
      <c r="AB480" s="228" t="str">
        <f t="shared" si="67"/>
        <v>GoldSumitomo Metal Mining Co., Ltd.</v>
      </c>
    </row>
    <row r="481" spans="1:28" s="227" customFormat="1" ht="67.5">
      <c r="A481" s="301" t="s">
        <v>725</v>
      </c>
      <c r="B481" s="293" t="s">
        <v>1119</v>
      </c>
      <c r="C481" s="294" t="s">
        <v>55</v>
      </c>
      <c r="D481" s="295" t="s">
        <v>55</v>
      </c>
      <c r="E481" s="293" t="s">
        <v>1098</v>
      </c>
      <c r="F481" s="293" t="s">
        <v>725</v>
      </c>
      <c r="G481" s="293" t="s">
        <v>13217</v>
      </c>
      <c r="H481" s="302" t="s">
        <v>15880</v>
      </c>
      <c r="I481" s="297" t="s">
        <v>1654</v>
      </c>
      <c r="J481" s="297" t="s">
        <v>2196</v>
      </c>
      <c r="K481" s="298" t="s">
        <v>15855</v>
      </c>
      <c r="L481" s="298" t="s">
        <v>15855</v>
      </c>
      <c r="M481" s="298" t="s">
        <v>15855</v>
      </c>
      <c r="N481" s="298" t="s">
        <v>15855</v>
      </c>
      <c r="O481" s="298" t="s">
        <v>15855</v>
      </c>
      <c r="P481" s="299" t="s">
        <v>15857</v>
      </c>
      <c r="Q481" s="300" t="s">
        <v>16159</v>
      </c>
      <c r="R481" s="182" t="str">
        <f ca="1">IF(ISERROR($V481),"",OFFSET('Smelter Look-up'!$C$4,$V481-4,0)&amp;"")</f>
        <v>Sumitomo Metal Mining Co., Ltd.</v>
      </c>
      <c r="S481" s="181" t="str">
        <f t="shared" ca="1" si="65"/>
        <v>JP</v>
      </c>
      <c r="T481" s="181" t="str">
        <f ca="1">IF(B481="","",IF(ISERROR(MATCH($J481,SorP!$B$1:$B$6226,0)),"",INDIRECT("'SorP'!$A$"&amp;MATCH($S481&amp;$J481,SorP!C:C,0))))</f>
        <v>JP-38</v>
      </c>
      <c r="U481" s="201"/>
      <c r="V481" s="226">
        <f>IF(C481="",NA(),IF(OR(C481="Smelter not listed",C481="Smelter not yet identified"),MATCH($B481&amp;$D481,'Smelter Look-up'!$J:$J,0),MATCH($B481&amp;$C481,'Smelter Look-up'!$J:$J,0)))</f>
        <v>276</v>
      </c>
      <c r="X481" s="227">
        <f t="shared" si="66"/>
        <v>0</v>
      </c>
      <c r="AB481" s="228" t="str">
        <f t="shared" si="67"/>
        <v>GoldSumitomo Metal Mining Co., Ltd.</v>
      </c>
    </row>
    <row r="482" spans="1:28" s="227" customFormat="1" ht="67.5">
      <c r="A482" s="301" t="s">
        <v>725</v>
      </c>
      <c r="B482" s="293" t="s">
        <v>1119</v>
      </c>
      <c r="C482" s="294" t="s">
        <v>55</v>
      </c>
      <c r="D482" s="295" t="s">
        <v>55</v>
      </c>
      <c r="E482" s="293" t="s">
        <v>1098</v>
      </c>
      <c r="F482" s="293" t="s">
        <v>725</v>
      </c>
      <c r="G482" s="293" t="s">
        <v>13217</v>
      </c>
      <c r="H482" s="302" t="s">
        <v>15880</v>
      </c>
      <c r="I482" s="297" t="s">
        <v>1654</v>
      </c>
      <c r="J482" s="297" t="s">
        <v>2196</v>
      </c>
      <c r="K482" s="298" t="s">
        <v>15855</v>
      </c>
      <c r="L482" s="298" t="s">
        <v>15855</v>
      </c>
      <c r="M482" s="298" t="s">
        <v>15855</v>
      </c>
      <c r="N482" s="298" t="s">
        <v>15855</v>
      </c>
      <c r="O482" s="298" t="s">
        <v>15855</v>
      </c>
      <c r="P482" s="299" t="s">
        <v>15857</v>
      </c>
      <c r="Q482" s="300" t="s">
        <v>15912</v>
      </c>
      <c r="R482" s="182" t="str">
        <f ca="1">IF(ISERROR($V482),"",OFFSET('Smelter Look-up'!$C$4,$V482-4,0)&amp;"")</f>
        <v>Sumitomo Metal Mining Co., Ltd.</v>
      </c>
      <c r="S482" s="181" t="str">
        <f t="shared" ca="1" si="65"/>
        <v>JP</v>
      </c>
      <c r="T482" s="181" t="str">
        <f ca="1">IF(B482="","",IF(ISERROR(MATCH($J482,SorP!$B$1:$B$6226,0)),"",INDIRECT("'SorP'!$A$"&amp;MATCH($S482&amp;$J482,SorP!C:C,0))))</f>
        <v>JP-38</v>
      </c>
      <c r="U482" s="201"/>
      <c r="V482" s="226">
        <f>IF(C482="",NA(),IF(OR(C482="Smelter not listed",C482="Smelter not yet identified"),MATCH($B482&amp;$D482,'Smelter Look-up'!$J:$J,0),MATCH($B482&amp;$C482,'Smelter Look-up'!$J:$J,0)))</f>
        <v>276</v>
      </c>
      <c r="X482" s="227">
        <f t="shared" si="66"/>
        <v>0</v>
      </c>
      <c r="AB482" s="228" t="str">
        <f t="shared" si="67"/>
        <v>GoldSumitomo Metal Mining Co., Ltd.</v>
      </c>
    </row>
    <row r="483" spans="1:28" s="227" customFormat="1" ht="67.5">
      <c r="A483" s="301" t="s">
        <v>725</v>
      </c>
      <c r="B483" s="293" t="s">
        <v>1119</v>
      </c>
      <c r="C483" s="294" t="s">
        <v>55</v>
      </c>
      <c r="D483" s="295" t="s">
        <v>55</v>
      </c>
      <c r="E483" s="293" t="s">
        <v>1098</v>
      </c>
      <c r="F483" s="293" t="s">
        <v>725</v>
      </c>
      <c r="G483" s="293" t="s">
        <v>13217</v>
      </c>
      <c r="H483" s="296" t="s">
        <v>16269</v>
      </c>
      <c r="I483" s="297" t="s">
        <v>1654</v>
      </c>
      <c r="J483" s="297" t="s">
        <v>2196</v>
      </c>
      <c r="K483" s="298" t="s">
        <v>16270</v>
      </c>
      <c r="L483" s="298" t="s">
        <v>16162</v>
      </c>
      <c r="M483" s="298" t="s">
        <v>15855</v>
      </c>
      <c r="N483" s="298" t="s">
        <v>16271</v>
      </c>
      <c r="O483" s="298" t="s">
        <v>16263</v>
      </c>
      <c r="P483" s="299" t="s">
        <v>15857</v>
      </c>
      <c r="Q483" s="300" t="s">
        <v>15907</v>
      </c>
      <c r="R483" s="182" t="str">
        <f ca="1">IF(ISERROR($V483),"",OFFSET('Smelter Look-up'!$C$4,$V483-4,0)&amp;"")</f>
        <v>Sumitomo Metal Mining Co., Ltd.</v>
      </c>
      <c r="S483" s="181" t="str">
        <f t="shared" ca="1" si="65"/>
        <v>JP</v>
      </c>
      <c r="T483" s="181" t="str">
        <f ca="1">IF(B483="","",IF(ISERROR(MATCH($J483,SorP!$B$1:$B$6226,0)),"",INDIRECT("'SorP'!$A$"&amp;MATCH($S483&amp;$J483,SorP!C:C,0))))</f>
        <v>JP-38</v>
      </c>
      <c r="U483" s="201"/>
      <c r="V483" s="226">
        <f>IF(C483="",NA(),IF(OR(C483="Smelter not listed",C483="Smelter not yet identified"),MATCH($B483&amp;$D483,'Smelter Look-up'!$J:$J,0),MATCH($B483&amp;$C483,'Smelter Look-up'!$J:$J,0)))</f>
        <v>276</v>
      </c>
      <c r="X483" s="227">
        <f t="shared" si="66"/>
        <v>0</v>
      </c>
      <c r="AB483" s="228" t="str">
        <f t="shared" si="67"/>
        <v>GoldSumitomo Metal Mining Co., Ltd.</v>
      </c>
    </row>
    <row r="484" spans="1:28" s="227" customFormat="1" ht="54">
      <c r="A484" s="301" t="s">
        <v>2435</v>
      </c>
      <c r="B484" s="293" t="s">
        <v>1119</v>
      </c>
      <c r="C484" s="294" t="s">
        <v>12903</v>
      </c>
      <c r="D484" s="295" t="s">
        <v>12903</v>
      </c>
      <c r="E484" s="293" t="s">
        <v>1101</v>
      </c>
      <c r="F484" s="293" t="s">
        <v>2435</v>
      </c>
      <c r="G484" s="293" t="s">
        <v>13217</v>
      </c>
      <c r="H484" s="296" t="s">
        <v>15855</v>
      </c>
      <c r="I484" s="297" t="s">
        <v>12917</v>
      </c>
      <c r="J484" s="297" t="s">
        <v>12852</v>
      </c>
      <c r="K484" s="298" t="s">
        <v>15855</v>
      </c>
      <c r="L484" s="298" t="s">
        <v>15855</v>
      </c>
      <c r="M484" s="298" t="s">
        <v>15855</v>
      </c>
      <c r="N484" s="298" t="s">
        <v>15855</v>
      </c>
      <c r="O484" s="298" t="s">
        <v>15855</v>
      </c>
      <c r="P484" s="299" t="s">
        <v>15857</v>
      </c>
      <c r="Q484" s="300" t="s">
        <v>15855</v>
      </c>
      <c r="R484" s="182" t="str">
        <f ca="1">IF(ISERROR($V484),"",OFFSET('Smelter Look-up'!$C$4,$V484-4,0)&amp;"")</f>
        <v>SungEel HiMetal Co., Ltd.</v>
      </c>
      <c r="S484" s="181" t="str">
        <f t="shared" ca="1" si="65"/>
        <v>KR</v>
      </c>
      <c r="T484" s="181" t="str">
        <f ca="1">IF(B484="","",IF(ISERROR(MATCH($J484,SorP!$B$1:$B$6226,0)),"",INDIRECT("'SorP'!$A$"&amp;MATCH($S484&amp;$J484,SorP!C:C,0))))</f>
        <v>KR-45</v>
      </c>
      <c r="U484" s="201"/>
      <c r="V484" s="226">
        <f>IF(C484="",NA(),IF(OR(C484="Smelter not listed",C484="Smelter not yet identified"),MATCH($B484&amp;$D484,'Smelter Look-up'!$J:$J,0),MATCH($B484&amp;$C484,'Smelter Look-up'!$J:$J,0)))</f>
        <v>277</v>
      </c>
      <c r="X484" s="227">
        <f t="shared" si="66"/>
        <v>0</v>
      </c>
      <c r="AB484" s="228" t="str">
        <f t="shared" si="67"/>
        <v>GoldSungEel HiMetal Co., Ltd.</v>
      </c>
    </row>
    <row r="485" spans="1:28" s="227" customFormat="1" ht="54">
      <c r="A485" s="301" t="s">
        <v>2435</v>
      </c>
      <c r="B485" s="293" t="s">
        <v>1119</v>
      </c>
      <c r="C485" s="294" t="s">
        <v>12903</v>
      </c>
      <c r="D485" s="295" t="s">
        <v>12903</v>
      </c>
      <c r="E485" s="293" t="s">
        <v>1101</v>
      </c>
      <c r="F485" s="293" t="s">
        <v>2435</v>
      </c>
      <c r="G485" s="293" t="s">
        <v>13217</v>
      </c>
      <c r="H485" s="296" t="s">
        <v>15855</v>
      </c>
      <c r="I485" s="297" t="s">
        <v>12917</v>
      </c>
      <c r="J485" s="297" t="s">
        <v>12852</v>
      </c>
      <c r="K485" s="298" t="s">
        <v>15855</v>
      </c>
      <c r="L485" s="298" t="s">
        <v>15855</v>
      </c>
      <c r="M485" s="298" t="s">
        <v>15855</v>
      </c>
      <c r="N485" s="298" t="s">
        <v>15855</v>
      </c>
      <c r="O485" s="298" t="s">
        <v>15876</v>
      </c>
      <c r="P485" s="299" t="s">
        <v>15857</v>
      </c>
      <c r="Q485" s="300" t="s">
        <v>15855</v>
      </c>
      <c r="R485" s="182" t="str">
        <f ca="1">IF(ISERROR($V485),"",OFFSET('Smelter Look-up'!$C$4,$V485-4,0)&amp;"")</f>
        <v>SungEel HiMetal Co., Ltd.</v>
      </c>
      <c r="S485" s="181" t="str">
        <f t="shared" ca="1" si="65"/>
        <v>KR</v>
      </c>
      <c r="T485" s="181" t="str">
        <f ca="1">IF(B485="","",IF(ISERROR(MATCH($J485,SorP!$B$1:$B$6226,0)),"",INDIRECT("'SorP'!$A$"&amp;MATCH($S485&amp;$J485,SorP!C:C,0))))</f>
        <v>KR-45</v>
      </c>
      <c r="U485" s="201"/>
      <c r="V485" s="226">
        <f>IF(C485="",NA(),IF(OR(C485="Smelter not listed",C485="Smelter not yet identified"),MATCH($B485&amp;$D485,'Smelter Look-up'!$J:$J,0),MATCH($B485&amp;$C485,'Smelter Look-up'!$J:$J,0)))</f>
        <v>277</v>
      </c>
      <c r="X485" s="227">
        <f t="shared" si="66"/>
        <v>0</v>
      </c>
      <c r="AB485" s="228" t="str">
        <f t="shared" si="67"/>
        <v>GoldSungEel HiMetal Co., Ltd.</v>
      </c>
    </row>
    <row r="486" spans="1:28" s="227" customFormat="1" ht="54">
      <c r="A486" s="301" t="s">
        <v>2435</v>
      </c>
      <c r="B486" s="293" t="s">
        <v>1119</v>
      </c>
      <c r="C486" s="294" t="s">
        <v>12903</v>
      </c>
      <c r="D486" s="295" t="s">
        <v>12903</v>
      </c>
      <c r="E486" s="293" t="s">
        <v>1101</v>
      </c>
      <c r="F486" s="293" t="s">
        <v>2435</v>
      </c>
      <c r="G486" s="293" t="s">
        <v>13217</v>
      </c>
      <c r="H486" s="296" t="s">
        <v>15855</v>
      </c>
      <c r="I486" s="297" t="s">
        <v>12917</v>
      </c>
      <c r="J486" s="297" t="s">
        <v>12852</v>
      </c>
      <c r="K486" s="298" t="s">
        <v>16272</v>
      </c>
      <c r="L486" s="298" t="s">
        <v>16273</v>
      </c>
      <c r="M486" s="298" t="s">
        <v>16274</v>
      </c>
      <c r="N486" s="298" t="s">
        <v>15876</v>
      </c>
      <c r="O486" s="298" t="s">
        <v>15879</v>
      </c>
      <c r="P486" s="299" t="s">
        <v>15875</v>
      </c>
      <c r="Q486" s="300" t="s">
        <v>15855</v>
      </c>
      <c r="R486" s="182" t="str">
        <f ca="1">IF(ISERROR($V486),"",OFFSET('Smelter Look-up'!$C$4,$V486-4,0)&amp;"")</f>
        <v>SungEel HiMetal Co., Ltd.</v>
      </c>
      <c r="S486" s="181" t="str">
        <f t="shared" ref="S486:S516" ca="1" si="68">IF(B486="","",IF(ISERROR(MATCH($E486,CL,0)),"Unknown",INDIRECT("'C'!$A$"&amp;MATCH($E486,CL,0)+1)))</f>
        <v>KR</v>
      </c>
      <c r="T486" s="181" t="str">
        <f ca="1">IF(B486="","",IF(ISERROR(MATCH($J486,SorP!$B$1:$B$6226,0)),"",INDIRECT("'SorP'!$A$"&amp;MATCH($S486&amp;$J486,SorP!C:C,0))))</f>
        <v>KR-45</v>
      </c>
      <c r="U486" s="201"/>
      <c r="V486" s="226">
        <f>IF(C486="",NA(),IF(OR(C486="Smelter not listed",C486="Smelter not yet identified"),MATCH($B486&amp;$D486,'Smelter Look-up'!$J:$J,0),MATCH($B486&amp;$C486,'Smelter Look-up'!$J:$J,0)))</f>
        <v>277</v>
      </c>
      <c r="X486" s="227">
        <f t="shared" ref="X486:X516" si="69">IF(AND(C486="Smelter not listed",OR(LEN(D486)=0,LEN(E486)=0)),1,0)</f>
        <v>0</v>
      </c>
      <c r="AB486" s="228" t="str">
        <f t="shared" ref="AB486:AB516" si="70">B486&amp;C486</f>
        <v>GoldSungEel HiMetal Co., Ltd.</v>
      </c>
    </row>
    <row r="487" spans="1:28" s="227" customFormat="1" ht="81">
      <c r="A487" s="301" t="s">
        <v>15424</v>
      </c>
      <c r="B487" s="293" t="s">
        <v>1119</v>
      </c>
      <c r="C487" s="294" t="s">
        <v>15423</v>
      </c>
      <c r="D487" s="295" t="s">
        <v>15423</v>
      </c>
      <c r="E487" s="293" t="s">
        <v>2414</v>
      </c>
      <c r="F487" s="293" t="s">
        <v>15424</v>
      </c>
      <c r="G487" s="293" t="s">
        <v>13217</v>
      </c>
      <c r="H487" s="296" t="s">
        <v>15855</v>
      </c>
      <c r="I487" s="297" t="s">
        <v>1691</v>
      </c>
      <c r="J487" s="297" t="s">
        <v>1691</v>
      </c>
      <c r="K487" s="298" t="s">
        <v>15855</v>
      </c>
      <c r="L487" s="298" t="s">
        <v>15855</v>
      </c>
      <c r="M487" s="298" t="s">
        <v>15855</v>
      </c>
      <c r="N487" s="298" t="s">
        <v>15855</v>
      </c>
      <c r="O487" s="298" t="s">
        <v>15858</v>
      </c>
      <c r="P487" s="299" t="s">
        <v>15857</v>
      </c>
      <c r="Q487" s="300" t="s">
        <v>15855</v>
      </c>
      <c r="R487" s="182" t="str">
        <f ca="1">IF(ISERROR($V487),"",OFFSET('Smelter Look-up'!$C$4,$V487-4,0)&amp;"")</f>
        <v>Super Dragon Technology Co., Ltd.</v>
      </c>
      <c r="S487" s="181" t="str">
        <f t="shared" ca="1" si="68"/>
        <v>TW</v>
      </c>
      <c r="T487" s="181" t="str">
        <f ca="1">IF(B487="","",IF(ISERROR(MATCH($J487,SorP!$B$1:$B$6226,0)),"",INDIRECT("'SorP'!$A$"&amp;MATCH($S487&amp;$J487,SorP!C:C,0))))</f>
        <v>TW-TAO</v>
      </c>
      <c r="U487" s="201"/>
      <c r="V487" s="226">
        <f>IF(C487="",NA(),IF(OR(C487="Smelter not listed",C487="Smelter not yet identified"),MATCH($B487&amp;$D487,'Smelter Look-up'!$J:$J,0),MATCH($B487&amp;$C487,'Smelter Look-up'!$J:$J,0)))</f>
        <v>279</v>
      </c>
      <c r="X487" s="227">
        <f t="shared" si="69"/>
        <v>0</v>
      </c>
      <c r="AB487" s="228" t="str">
        <f t="shared" si="70"/>
        <v>GoldSuper Dragon Technology Co., Ltd.</v>
      </c>
    </row>
    <row r="488" spans="1:28" s="227" customFormat="1" ht="27">
      <c r="A488" s="301" t="s">
        <v>1702</v>
      </c>
      <c r="B488" s="293" t="s">
        <v>1119</v>
      </c>
      <c r="C488" s="294" t="s">
        <v>2199</v>
      </c>
      <c r="D488" s="295" t="s">
        <v>2199</v>
      </c>
      <c r="E488" s="293" t="s">
        <v>1097</v>
      </c>
      <c r="F488" s="293" t="s">
        <v>1702</v>
      </c>
      <c r="G488" s="293" t="s">
        <v>13217</v>
      </c>
      <c r="H488" s="296" t="s">
        <v>15855</v>
      </c>
      <c r="I488" s="297" t="s">
        <v>1703</v>
      </c>
      <c r="J488" s="297" t="s">
        <v>6448</v>
      </c>
      <c r="K488" s="298" t="s">
        <v>15855</v>
      </c>
      <c r="L488" s="298" t="s">
        <v>15855</v>
      </c>
      <c r="M488" s="298" t="s">
        <v>15855</v>
      </c>
      <c r="N488" s="298" t="s">
        <v>15855</v>
      </c>
      <c r="O488" s="298" t="s">
        <v>15855</v>
      </c>
      <c r="P488" s="299" t="s">
        <v>15857</v>
      </c>
      <c r="Q488" s="300" t="s">
        <v>15855</v>
      </c>
      <c r="R488" s="182" t="str">
        <f ca="1">IF(ISERROR($V488),"",OFFSET('Smelter Look-up'!$C$4,$V488-4,0)&amp;"")</f>
        <v>T.C.A S.p.A</v>
      </c>
      <c r="S488" s="181" t="str">
        <f t="shared" ca="1" si="68"/>
        <v>IT</v>
      </c>
      <c r="T488" s="181" t="str">
        <f ca="1">IF(B488="","",IF(ISERROR(MATCH($J488,SorP!$B$1:$B$6226,0)),"",INDIRECT("'SorP'!$A$"&amp;MATCH($S488&amp;$J488,SorP!C:C,0))))</f>
        <v>IT-52</v>
      </c>
      <c r="U488" s="201"/>
      <c r="V488" s="226">
        <f>IF(C488="",NA(),IF(OR(C488="Smelter not listed",C488="Smelter not yet identified"),MATCH($B488&amp;$D488,'Smelter Look-up'!$J:$J,0),MATCH($B488&amp;$C488,'Smelter Look-up'!$J:$J,0)))</f>
        <v>280</v>
      </c>
      <c r="X488" s="227">
        <f t="shared" si="69"/>
        <v>0</v>
      </c>
      <c r="AB488" s="228" t="str">
        <f t="shared" si="70"/>
        <v>GoldT.C.A S.p.A</v>
      </c>
    </row>
    <row r="489" spans="1:28" s="227" customFormat="1" ht="27">
      <c r="A489" s="301" t="s">
        <v>1702</v>
      </c>
      <c r="B489" s="293" t="s">
        <v>1119</v>
      </c>
      <c r="C489" s="294" t="s">
        <v>2199</v>
      </c>
      <c r="D489" s="295" t="s">
        <v>2199</v>
      </c>
      <c r="E489" s="293" t="s">
        <v>1097</v>
      </c>
      <c r="F489" s="293" t="s">
        <v>1702</v>
      </c>
      <c r="G489" s="293" t="s">
        <v>13217</v>
      </c>
      <c r="H489" s="296" t="s">
        <v>15855</v>
      </c>
      <c r="I489" s="297" t="s">
        <v>1703</v>
      </c>
      <c r="J489" s="297" t="s">
        <v>6448</v>
      </c>
      <c r="K489" s="298" t="s">
        <v>15855</v>
      </c>
      <c r="L489" s="298" t="s">
        <v>15855</v>
      </c>
      <c r="M489" s="298" t="s">
        <v>15855</v>
      </c>
      <c r="N489" s="298" t="s">
        <v>15855</v>
      </c>
      <c r="O489" s="298" t="s">
        <v>15858</v>
      </c>
      <c r="P489" s="299" t="s">
        <v>15857</v>
      </c>
      <c r="Q489" s="300" t="s">
        <v>15855</v>
      </c>
      <c r="R489" s="182" t="str">
        <f ca="1">IF(ISERROR($V489),"",OFFSET('Smelter Look-up'!$C$4,$V489-4,0)&amp;"")</f>
        <v>T.C.A S.p.A</v>
      </c>
      <c r="S489" s="181" t="str">
        <f t="shared" ca="1" si="68"/>
        <v>IT</v>
      </c>
      <c r="T489" s="181" t="str">
        <f ca="1">IF(B489="","",IF(ISERROR(MATCH($J489,SorP!$B$1:$B$6226,0)),"",INDIRECT("'SorP'!$A$"&amp;MATCH($S489&amp;$J489,SorP!C:C,0))))</f>
        <v>IT-52</v>
      </c>
      <c r="U489" s="201"/>
      <c r="V489" s="226">
        <f>IF(C489="",NA(),IF(OR(C489="Smelter not listed",C489="Smelter not yet identified"),MATCH($B489&amp;$D489,'Smelter Look-up'!$J:$J,0),MATCH($B489&amp;$C489,'Smelter Look-up'!$J:$J,0)))</f>
        <v>280</v>
      </c>
      <c r="X489" s="227">
        <f t="shared" si="69"/>
        <v>0</v>
      </c>
      <c r="AB489" s="228" t="str">
        <f t="shared" si="70"/>
        <v>GoldT.C.A S.p.A</v>
      </c>
    </row>
    <row r="490" spans="1:28" s="227" customFormat="1" ht="27">
      <c r="A490" s="301" t="s">
        <v>1702</v>
      </c>
      <c r="B490" s="293" t="s">
        <v>1119</v>
      </c>
      <c r="C490" s="294" t="s">
        <v>2199</v>
      </c>
      <c r="D490" s="295" t="s">
        <v>2199</v>
      </c>
      <c r="E490" s="293" t="s">
        <v>1097</v>
      </c>
      <c r="F490" s="293" t="s">
        <v>1702</v>
      </c>
      <c r="G490" s="293" t="s">
        <v>13217</v>
      </c>
      <c r="H490" s="296" t="s">
        <v>15855</v>
      </c>
      <c r="I490" s="297" t="s">
        <v>1703</v>
      </c>
      <c r="J490" s="297" t="s">
        <v>6448</v>
      </c>
      <c r="K490" s="298" t="s">
        <v>15855</v>
      </c>
      <c r="L490" s="298" t="s">
        <v>16275</v>
      </c>
      <c r="M490" s="298" t="s">
        <v>16276</v>
      </c>
      <c r="N490" s="298" t="s">
        <v>15862</v>
      </c>
      <c r="O490" s="298" t="s">
        <v>15893</v>
      </c>
      <c r="P490" s="299" t="s">
        <v>15857</v>
      </c>
      <c r="Q490" s="300" t="s">
        <v>15855</v>
      </c>
      <c r="R490" s="182" t="str">
        <f ca="1">IF(ISERROR($V490),"",OFFSET('Smelter Look-up'!$C$4,$V490-4,0)&amp;"")</f>
        <v>T.C.A S.p.A</v>
      </c>
      <c r="S490" s="181" t="str">
        <f t="shared" ca="1" si="68"/>
        <v>IT</v>
      </c>
      <c r="T490" s="181" t="str">
        <f ca="1">IF(B490="","",IF(ISERROR(MATCH($J490,SorP!$B$1:$B$6226,0)),"",INDIRECT("'SorP'!$A$"&amp;MATCH($S490&amp;$J490,SorP!C:C,0))))</f>
        <v>IT-52</v>
      </c>
      <c r="U490" s="201"/>
      <c r="V490" s="226">
        <f>IF(C490="",NA(),IF(OR(C490="Smelter not listed",C490="Smelter not yet identified"),MATCH($B490&amp;$D490,'Smelter Look-up'!$J:$J,0),MATCH($B490&amp;$C490,'Smelter Look-up'!$J:$J,0)))</f>
        <v>280</v>
      </c>
      <c r="X490" s="227">
        <f t="shared" si="69"/>
        <v>0</v>
      </c>
      <c r="AB490" s="228" t="str">
        <f t="shared" si="70"/>
        <v>GoldT.C.A S.p.A</v>
      </c>
    </row>
    <row r="491" spans="1:28" s="227" customFormat="1" ht="67.5">
      <c r="A491" s="301" t="s">
        <v>726</v>
      </c>
      <c r="B491" s="293" t="s">
        <v>1119</v>
      </c>
      <c r="C491" s="294" t="s">
        <v>2309</v>
      </c>
      <c r="D491" s="295" t="s">
        <v>1221</v>
      </c>
      <c r="E491" s="293" t="s">
        <v>1098</v>
      </c>
      <c r="F491" s="293" t="s">
        <v>726</v>
      </c>
      <c r="G491" s="293" t="s">
        <v>15865</v>
      </c>
      <c r="H491" s="296" t="s">
        <v>15855</v>
      </c>
      <c r="I491" s="297" t="s">
        <v>1655</v>
      </c>
      <c r="J491" s="297" t="s">
        <v>1656</v>
      </c>
      <c r="K491" s="298" t="s">
        <v>15855</v>
      </c>
      <c r="L491" s="298" t="s">
        <v>15855</v>
      </c>
      <c r="M491" s="298" t="s">
        <v>15855</v>
      </c>
      <c r="N491" s="298" t="s">
        <v>15855</v>
      </c>
      <c r="O491" s="298" t="s">
        <v>15855</v>
      </c>
      <c r="P491" s="299" t="s">
        <v>15857</v>
      </c>
      <c r="Q491" s="300" t="s">
        <v>15855</v>
      </c>
      <c r="R491" s="182" t="str">
        <f ca="1">IF(ISERROR($V491),"",OFFSET('Smelter Look-up'!$C$4,$V491-4,0)&amp;"")</f>
        <v>Tanaka Kikinzoku Kogyo K.K.</v>
      </c>
      <c r="S491" s="181" t="str">
        <f t="shared" ca="1" si="68"/>
        <v>JP</v>
      </c>
      <c r="T491" s="181" t="str">
        <f ca="1">IF(B491="","",IF(ISERROR(MATCH($J491,SorP!$B$1:$B$6226,0)),"",INDIRECT("'SorP'!$A$"&amp;MATCH($S491&amp;$J491,SorP!C:C,0))))</f>
        <v>JP-14</v>
      </c>
      <c r="U491" s="201"/>
      <c r="V491" s="226">
        <f>IF(C491="",NA(),IF(OR(C491="Smelter not listed",C491="Smelter not yet identified"),MATCH($B491&amp;$D491,'Smelter Look-up'!$J:$J,0),MATCH($B491&amp;$C491,'Smelter Look-up'!$J:$J,0)))</f>
        <v>288</v>
      </c>
      <c r="X491" s="227">
        <f t="shared" si="69"/>
        <v>0</v>
      </c>
      <c r="AB491" s="228" t="str">
        <f t="shared" si="70"/>
        <v>GoldTanaka Kikinzoku Kogyo K.K</v>
      </c>
    </row>
    <row r="492" spans="1:28" s="227" customFormat="1" ht="67.5">
      <c r="A492" s="301" t="s">
        <v>726</v>
      </c>
      <c r="B492" s="293" t="s">
        <v>1119</v>
      </c>
      <c r="C492" s="294" t="s">
        <v>2309</v>
      </c>
      <c r="D492" s="295" t="s">
        <v>1221</v>
      </c>
      <c r="E492" s="293" t="s">
        <v>1098</v>
      </c>
      <c r="F492" s="293" t="s">
        <v>726</v>
      </c>
      <c r="G492" s="293" t="s">
        <v>13217</v>
      </c>
      <c r="H492" s="296" t="s">
        <v>15855</v>
      </c>
      <c r="I492" s="297" t="s">
        <v>1655</v>
      </c>
      <c r="J492" s="297" t="s">
        <v>1656</v>
      </c>
      <c r="K492" s="298" t="s">
        <v>15855</v>
      </c>
      <c r="L492" s="298" t="s">
        <v>15855</v>
      </c>
      <c r="M492" s="298" t="s">
        <v>15855</v>
      </c>
      <c r="N492" s="298" t="s">
        <v>15855</v>
      </c>
      <c r="O492" s="298" t="s">
        <v>15855</v>
      </c>
      <c r="P492" s="299" t="s">
        <v>15857</v>
      </c>
      <c r="Q492" s="300" t="s">
        <v>15855</v>
      </c>
      <c r="R492" s="182" t="str">
        <f ca="1">IF(ISERROR($V492),"",OFFSET('Smelter Look-up'!$C$4,$V492-4,0)&amp;"")</f>
        <v>Tanaka Kikinzoku Kogyo K.K.</v>
      </c>
      <c r="S492" s="181" t="str">
        <f t="shared" ca="1" si="68"/>
        <v>JP</v>
      </c>
      <c r="T492" s="181" t="str">
        <f ca="1">IF(B492="","",IF(ISERROR(MATCH($J492,SorP!$B$1:$B$6226,0)),"",INDIRECT("'SorP'!$A$"&amp;MATCH($S492&amp;$J492,SorP!C:C,0))))</f>
        <v>JP-14</v>
      </c>
      <c r="U492" s="201"/>
      <c r="V492" s="226">
        <f>IF(C492="",NA(),IF(OR(C492="Smelter not listed",C492="Smelter not yet identified"),MATCH($B492&amp;$D492,'Smelter Look-up'!$J:$J,0),MATCH($B492&amp;$C492,'Smelter Look-up'!$J:$J,0)))</f>
        <v>288</v>
      </c>
      <c r="X492" s="227">
        <f t="shared" si="69"/>
        <v>0</v>
      </c>
      <c r="AB492" s="228" t="str">
        <f t="shared" si="70"/>
        <v>GoldTanaka Kikinzoku Kogyo K.K</v>
      </c>
    </row>
    <row r="493" spans="1:28" s="227" customFormat="1" ht="67.5">
      <c r="A493" s="301" t="s">
        <v>726</v>
      </c>
      <c r="B493" s="293" t="s">
        <v>1119</v>
      </c>
      <c r="C493" s="294" t="s">
        <v>1221</v>
      </c>
      <c r="D493" s="295" t="s">
        <v>1221</v>
      </c>
      <c r="E493" s="293" t="s">
        <v>1098</v>
      </c>
      <c r="F493" s="293" t="s">
        <v>726</v>
      </c>
      <c r="G493" s="293" t="s">
        <v>13217</v>
      </c>
      <c r="H493" s="296" t="s">
        <v>15855</v>
      </c>
      <c r="I493" s="297" t="s">
        <v>1655</v>
      </c>
      <c r="J493" s="297" t="s">
        <v>1656</v>
      </c>
      <c r="K493" s="298" t="s">
        <v>15855</v>
      </c>
      <c r="L493" s="298" t="s">
        <v>15855</v>
      </c>
      <c r="M493" s="298" t="s">
        <v>15855</v>
      </c>
      <c r="N493" s="298" t="s">
        <v>15855</v>
      </c>
      <c r="O493" s="298" t="s">
        <v>15855</v>
      </c>
      <c r="P493" s="299" t="s">
        <v>15857</v>
      </c>
      <c r="Q493" s="300" t="s">
        <v>15855</v>
      </c>
      <c r="R493" s="182" t="str">
        <f ca="1">IF(ISERROR($V493),"",OFFSET('Smelter Look-up'!$C$4,$V493-4,0)&amp;"")</f>
        <v>Tanaka Kikinzoku Kogyo K.K.</v>
      </c>
      <c r="S493" s="181" t="str">
        <f t="shared" ca="1" si="68"/>
        <v>JP</v>
      </c>
      <c r="T493" s="181" t="str">
        <f ca="1">IF(B493="","",IF(ISERROR(MATCH($J493,SorP!$B$1:$B$6226,0)),"",INDIRECT("'SorP'!$A$"&amp;MATCH($S493&amp;$J493,SorP!C:C,0))))</f>
        <v>JP-14</v>
      </c>
      <c r="U493" s="201"/>
      <c r="V493" s="226">
        <f>IF(C493="",NA(),IF(OR(C493="Smelter not listed",C493="Smelter not yet identified"),MATCH($B493&amp;$D493,'Smelter Look-up'!$J:$J,0),MATCH($B493&amp;$C493,'Smelter Look-up'!$J:$J,0)))</f>
        <v>289</v>
      </c>
      <c r="X493" s="227">
        <f t="shared" si="69"/>
        <v>0</v>
      </c>
      <c r="AB493" s="228" t="str">
        <f t="shared" si="70"/>
        <v>GoldTanaka Kikinzoku Kogyo K.K.</v>
      </c>
    </row>
    <row r="494" spans="1:28" s="227" customFormat="1" ht="67.5">
      <c r="A494" s="301" t="s">
        <v>726</v>
      </c>
      <c r="B494" s="293" t="s">
        <v>1119</v>
      </c>
      <c r="C494" s="294" t="s">
        <v>1221</v>
      </c>
      <c r="D494" s="295" t="s">
        <v>1221</v>
      </c>
      <c r="E494" s="293" t="s">
        <v>1098</v>
      </c>
      <c r="F494" s="293" t="s">
        <v>726</v>
      </c>
      <c r="G494" s="293" t="s">
        <v>13217</v>
      </c>
      <c r="H494" s="296" t="s">
        <v>15855</v>
      </c>
      <c r="I494" s="297" t="s">
        <v>1655</v>
      </c>
      <c r="J494" s="297" t="s">
        <v>1656</v>
      </c>
      <c r="K494" s="298" t="s">
        <v>15855</v>
      </c>
      <c r="L494" s="298" t="s">
        <v>15855</v>
      </c>
      <c r="M494" s="298" t="s">
        <v>15855</v>
      </c>
      <c r="N494" s="298" t="s">
        <v>15855</v>
      </c>
      <c r="O494" s="298" t="s">
        <v>15855</v>
      </c>
      <c r="P494" s="299" t="s">
        <v>15857</v>
      </c>
      <c r="Q494" s="300" t="s">
        <v>16277</v>
      </c>
      <c r="R494" s="182" t="str">
        <f ca="1">IF(ISERROR($V494),"",OFFSET('Smelter Look-up'!$C$4,$V494-4,0)&amp;"")</f>
        <v>Tanaka Kikinzoku Kogyo K.K.</v>
      </c>
      <c r="S494" s="181" t="str">
        <f t="shared" ca="1" si="68"/>
        <v>JP</v>
      </c>
      <c r="T494" s="181" t="str">
        <f ca="1">IF(B494="","",IF(ISERROR(MATCH($J494,SorP!$B$1:$B$6226,0)),"",INDIRECT("'SorP'!$A$"&amp;MATCH($S494&amp;$J494,SorP!C:C,0))))</f>
        <v>JP-14</v>
      </c>
      <c r="U494" s="201"/>
      <c r="V494" s="226">
        <f>IF(C494="",NA(),IF(OR(C494="Smelter not listed",C494="Smelter not yet identified"),MATCH($B494&amp;$D494,'Smelter Look-up'!$J:$J,0),MATCH($B494&amp;$C494,'Smelter Look-up'!$J:$J,0)))</f>
        <v>289</v>
      </c>
      <c r="X494" s="227">
        <f t="shared" si="69"/>
        <v>0</v>
      </c>
      <c r="AB494" s="228" t="str">
        <f t="shared" si="70"/>
        <v>GoldTanaka Kikinzoku Kogyo K.K.</v>
      </c>
    </row>
    <row r="495" spans="1:28" s="227" customFormat="1" ht="67.5">
      <c r="A495" s="301" t="s">
        <v>726</v>
      </c>
      <c r="B495" s="293" t="s">
        <v>1119</v>
      </c>
      <c r="C495" s="294" t="s">
        <v>1221</v>
      </c>
      <c r="D495" s="295" t="s">
        <v>1221</v>
      </c>
      <c r="E495" s="293" t="s">
        <v>1098</v>
      </c>
      <c r="F495" s="293" t="s">
        <v>726</v>
      </c>
      <c r="G495" s="293" t="s">
        <v>13217</v>
      </c>
      <c r="H495" s="296" t="s">
        <v>15855</v>
      </c>
      <c r="I495" s="297" t="s">
        <v>1655</v>
      </c>
      <c r="J495" s="297" t="s">
        <v>1656</v>
      </c>
      <c r="K495" s="298" t="s">
        <v>15855</v>
      </c>
      <c r="L495" s="298" t="s">
        <v>15855</v>
      </c>
      <c r="M495" s="298" t="s">
        <v>15855</v>
      </c>
      <c r="N495" s="298" t="s">
        <v>15855</v>
      </c>
      <c r="O495" s="298" t="s">
        <v>15855</v>
      </c>
      <c r="P495" s="299" t="s">
        <v>15875</v>
      </c>
      <c r="Q495" s="300" t="s">
        <v>15855</v>
      </c>
      <c r="R495" s="182" t="str">
        <f ca="1">IF(ISERROR($V495),"",OFFSET('Smelter Look-up'!$C$4,$V495-4,0)&amp;"")</f>
        <v>Tanaka Kikinzoku Kogyo K.K.</v>
      </c>
      <c r="S495" s="181" t="str">
        <f t="shared" ca="1" si="68"/>
        <v>JP</v>
      </c>
      <c r="T495" s="181" t="str">
        <f ca="1">IF(B495="","",IF(ISERROR(MATCH($J495,SorP!$B$1:$B$6226,0)),"",INDIRECT("'SorP'!$A$"&amp;MATCH($S495&amp;$J495,SorP!C:C,0))))</f>
        <v>JP-14</v>
      </c>
      <c r="U495" s="201"/>
      <c r="V495" s="226">
        <f>IF(C495="",NA(),IF(OR(C495="Smelter not listed",C495="Smelter not yet identified"),MATCH($B495&amp;$D495,'Smelter Look-up'!$J:$J,0),MATCH($B495&amp;$C495,'Smelter Look-up'!$J:$J,0)))</f>
        <v>289</v>
      </c>
      <c r="X495" s="227">
        <f t="shared" si="69"/>
        <v>0</v>
      </c>
      <c r="AB495" s="228" t="str">
        <f t="shared" si="70"/>
        <v>GoldTanaka Kikinzoku Kogyo K.K.</v>
      </c>
    </row>
    <row r="496" spans="1:28" s="227" customFormat="1" ht="67.5">
      <c r="A496" s="301" t="s">
        <v>726</v>
      </c>
      <c r="B496" s="293" t="s">
        <v>1119</v>
      </c>
      <c r="C496" s="294" t="s">
        <v>1221</v>
      </c>
      <c r="D496" s="295" t="s">
        <v>1221</v>
      </c>
      <c r="E496" s="293" t="s">
        <v>1098</v>
      </c>
      <c r="F496" s="293" t="s">
        <v>726</v>
      </c>
      <c r="G496" s="293" t="s">
        <v>13217</v>
      </c>
      <c r="H496" s="296" t="s">
        <v>15855</v>
      </c>
      <c r="I496" s="297" t="s">
        <v>1655</v>
      </c>
      <c r="J496" s="297" t="s">
        <v>1656</v>
      </c>
      <c r="K496" s="298" t="s">
        <v>15855</v>
      </c>
      <c r="L496" s="298" t="s">
        <v>15855</v>
      </c>
      <c r="M496" s="298" t="s">
        <v>15855</v>
      </c>
      <c r="N496" s="298" t="s">
        <v>15855</v>
      </c>
      <c r="O496" s="298" t="s">
        <v>16278</v>
      </c>
      <c r="P496" s="299" t="s">
        <v>15857</v>
      </c>
      <c r="Q496" s="300" t="s">
        <v>15855</v>
      </c>
      <c r="R496" s="182" t="str">
        <f ca="1">IF(ISERROR($V496),"",OFFSET('Smelter Look-up'!$C$4,$V496-4,0)&amp;"")</f>
        <v>Tanaka Kikinzoku Kogyo K.K.</v>
      </c>
      <c r="S496" s="181" t="str">
        <f t="shared" ca="1" si="68"/>
        <v>JP</v>
      </c>
      <c r="T496" s="181" t="str">
        <f ca="1">IF(B496="","",IF(ISERROR(MATCH($J496,SorP!$B$1:$B$6226,0)),"",INDIRECT("'SorP'!$A$"&amp;MATCH($S496&amp;$J496,SorP!C:C,0))))</f>
        <v>JP-14</v>
      </c>
      <c r="U496" s="201"/>
      <c r="V496" s="226">
        <f>IF(C496="",NA(),IF(OR(C496="Smelter not listed",C496="Smelter not yet identified"),MATCH($B496&amp;$D496,'Smelter Look-up'!$J:$J,0),MATCH($B496&amp;$C496,'Smelter Look-up'!$J:$J,0)))</f>
        <v>289</v>
      </c>
      <c r="X496" s="227">
        <f t="shared" si="69"/>
        <v>0</v>
      </c>
      <c r="AB496" s="228" t="str">
        <f t="shared" si="70"/>
        <v>GoldTanaka Kikinzoku Kogyo K.K.</v>
      </c>
    </row>
    <row r="497" spans="1:28" s="227" customFormat="1" ht="67.5">
      <c r="A497" s="301" t="s">
        <v>726</v>
      </c>
      <c r="B497" s="293" t="s">
        <v>1119</v>
      </c>
      <c r="C497" s="294" t="s">
        <v>1221</v>
      </c>
      <c r="D497" s="295" t="s">
        <v>1221</v>
      </c>
      <c r="E497" s="293" t="s">
        <v>1098</v>
      </c>
      <c r="F497" s="293" t="s">
        <v>726</v>
      </c>
      <c r="G497" s="293" t="s">
        <v>13217</v>
      </c>
      <c r="H497" s="296" t="s">
        <v>15855</v>
      </c>
      <c r="I497" s="297" t="s">
        <v>1655</v>
      </c>
      <c r="J497" s="297" t="s">
        <v>1656</v>
      </c>
      <c r="K497" s="298" t="s">
        <v>16279</v>
      </c>
      <c r="L497" s="298" t="s">
        <v>16280</v>
      </c>
      <c r="M497" s="298" t="s">
        <v>2334</v>
      </c>
      <c r="N497" s="298" t="s">
        <v>16281</v>
      </c>
      <c r="O497" s="298" t="s">
        <v>16281</v>
      </c>
      <c r="P497" s="299" t="s">
        <v>15857</v>
      </c>
      <c r="Q497" s="300" t="s">
        <v>16282</v>
      </c>
      <c r="R497" s="182" t="str">
        <f ca="1">IF(ISERROR($V497),"",OFFSET('Smelter Look-up'!$C$4,$V497-4,0)&amp;"")</f>
        <v>Tanaka Kikinzoku Kogyo K.K.</v>
      </c>
      <c r="S497" s="181" t="str">
        <f t="shared" ca="1" si="68"/>
        <v>JP</v>
      </c>
      <c r="T497" s="181" t="str">
        <f ca="1">IF(B497="","",IF(ISERROR(MATCH($J497,SorP!$B$1:$B$6226,0)),"",INDIRECT("'SorP'!$A$"&amp;MATCH($S497&amp;$J497,SorP!C:C,0))))</f>
        <v>JP-14</v>
      </c>
      <c r="U497" s="201"/>
      <c r="V497" s="226">
        <f>IF(C497="",NA(),IF(OR(C497="Smelter not listed",C497="Smelter not yet identified"),MATCH($B497&amp;$D497,'Smelter Look-up'!$J:$J,0),MATCH($B497&amp;$C497,'Smelter Look-up'!$J:$J,0)))</f>
        <v>289</v>
      </c>
      <c r="X497" s="227">
        <f t="shared" si="69"/>
        <v>0</v>
      </c>
      <c r="AB497" s="228" t="str">
        <f t="shared" si="70"/>
        <v>GoldTanaka Kikinzoku Kogyo K.K.</v>
      </c>
    </row>
    <row r="498" spans="1:28" s="227" customFormat="1" ht="67.5">
      <c r="A498" s="301" t="s">
        <v>726</v>
      </c>
      <c r="B498" s="293" t="s">
        <v>1119</v>
      </c>
      <c r="C498" s="294" t="s">
        <v>1221</v>
      </c>
      <c r="D498" s="295" t="s">
        <v>1221</v>
      </c>
      <c r="E498" s="293" t="s">
        <v>1098</v>
      </c>
      <c r="F498" s="293" t="s">
        <v>726</v>
      </c>
      <c r="G498" s="293" t="s">
        <v>13217</v>
      </c>
      <c r="H498" s="296" t="s">
        <v>15855</v>
      </c>
      <c r="I498" s="297" t="s">
        <v>1655</v>
      </c>
      <c r="J498" s="297" t="s">
        <v>1656</v>
      </c>
      <c r="K498" s="298" t="s">
        <v>16283</v>
      </c>
      <c r="L498" s="298" t="s">
        <v>16284</v>
      </c>
      <c r="M498" s="298" t="s">
        <v>16192</v>
      </c>
      <c r="N498" s="298" t="s">
        <v>16285</v>
      </c>
      <c r="O498" s="298" t="s">
        <v>15893</v>
      </c>
      <c r="P498" s="299" t="s">
        <v>15875</v>
      </c>
      <c r="Q498" s="300" t="s">
        <v>15855</v>
      </c>
      <c r="R498" s="182" t="str">
        <f ca="1">IF(ISERROR($V498),"",OFFSET('Smelter Look-up'!$C$4,$V498-4,0)&amp;"")</f>
        <v>Tanaka Kikinzoku Kogyo K.K.</v>
      </c>
      <c r="S498" s="181" t="str">
        <f t="shared" ca="1" si="68"/>
        <v>JP</v>
      </c>
      <c r="T498" s="181" t="str">
        <f ca="1">IF(B498="","",IF(ISERROR(MATCH($J498,SorP!$B$1:$B$6226,0)),"",INDIRECT("'SorP'!$A$"&amp;MATCH($S498&amp;$J498,SorP!C:C,0))))</f>
        <v>JP-14</v>
      </c>
      <c r="U498" s="201"/>
      <c r="V498" s="226">
        <f>IF(C498="",NA(),IF(OR(C498="Smelter not listed",C498="Smelter not yet identified"),MATCH($B498&amp;$D498,'Smelter Look-up'!$J:$J,0),MATCH($B498&amp;$C498,'Smelter Look-up'!$J:$J,0)))</f>
        <v>289</v>
      </c>
      <c r="X498" s="227">
        <f t="shared" si="69"/>
        <v>0</v>
      </c>
      <c r="AB498" s="228" t="str">
        <f t="shared" si="70"/>
        <v>GoldTanaka Kikinzoku Kogyo K.K.</v>
      </c>
    </row>
    <row r="499" spans="1:28" s="227" customFormat="1" ht="67.5">
      <c r="A499" s="301" t="s">
        <v>726</v>
      </c>
      <c r="B499" s="293" t="s">
        <v>1119</v>
      </c>
      <c r="C499" s="294" t="s">
        <v>1221</v>
      </c>
      <c r="D499" s="295" t="s">
        <v>1221</v>
      </c>
      <c r="E499" s="293" t="s">
        <v>1098</v>
      </c>
      <c r="F499" s="293" t="s">
        <v>726</v>
      </c>
      <c r="G499" s="293" t="s">
        <v>13217</v>
      </c>
      <c r="H499" s="302" t="s">
        <v>15880</v>
      </c>
      <c r="I499" s="297" t="s">
        <v>1655</v>
      </c>
      <c r="J499" s="297" t="s">
        <v>1656</v>
      </c>
      <c r="K499" s="298" t="s">
        <v>15855</v>
      </c>
      <c r="L499" s="298" t="s">
        <v>15855</v>
      </c>
      <c r="M499" s="298" t="s">
        <v>15855</v>
      </c>
      <c r="N499" s="298" t="s">
        <v>15855</v>
      </c>
      <c r="O499" s="298" t="s">
        <v>15855</v>
      </c>
      <c r="P499" s="299" t="s">
        <v>15857</v>
      </c>
      <c r="Q499" s="300" t="s">
        <v>15855</v>
      </c>
      <c r="R499" s="182" t="str">
        <f ca="1">IF(ISERROR($V499),"",OFFSET('Smelter Look-up'!$C$4,$V499-4,0)&amp;"")</f>
        <v>Tanaka Kikinzoku Kogyo K.K.</v>
      </c>
      <c r="S499" s="181" t="str">
        <f t="shared" ca="1" si="68"/>
        <v>JP</v>
      </c>
      <c r="T499" s="181" t="str">
        <f ca="1">IF(B499="","",IF(ISERROR(MATCH($J499,SorP!$B$1:$B$6226,0)),"",INDIRECT("'SorP'!$A$"&amp;MATCH($S499&amp;$J499,SorP!C:C,0))))</f>
        <v>JP-14</v>
      </c>
      <c r="U499" s="201"/>
      <c r="V499" s="226">
        <f>IF(C499="",NA(),IF(OR(C499="Smelter not listed",C499="Smelter not yet identified"),MATCH($B499&amp;$D499,'Smelter Look-up'!$J:$J,0),MATCH($B499&amp;$C499,'Smelter Look-up'!$J:$J,0)))</f>
        <v>289</v>
      </c>
      <c r="X499" s="227">
        <f t="shared" si="69"/>
        <v>0</v>
      </c>
      <c r="AB499" s="228" t="str">
        <f t="shared" si="70"/>
        <v>GoldTanaka Kikinzoku Kogyo K.K.</v>
      </c>
    </row>
    <row r="500" spans="1:28" s="227" customFormat="1" ht="67.5">
      <c r="A500" s="301" t="s">
        <v>726</v>
      </c>
      <c r="B500" s="293" t="s">
        <v>1119</v>
      </c>
      <c r="C500" s="294" t="s">
        <v>1221</v>
      </c>
      <c r="D500" s="295" t="s">
        <v>1221</v>
      </c>
      <c r="E500" s="293" t="s">
        <v>1098</v>
      </c>
      <c r="F500" s="293" t="s">
        <v>726</v>
      </c>
      <c r="G500" s="293" t="s">
        <v>13217</v>
      </c>
      <c r="H500" s="302" t="s">
        <v>15880</v>
      </c>
      <c r="I500" s="297" t="s">
        <v>1655</v>
      </c>
      <c r="J500" s="297" t="s">
        <v>1656</v>
      </c>
      <c r="K500" s="298" t="s">
        <v>15855</v>
      </c>
      <c r="L500" s="298" t="s">
        <v>15855</v>
      </c>
      <c r="M500" s="298" t="s">
        <v>15855</v>
      </c>
      <c r="N500" s="298" t="s">
        <v>15855</v>
      </c>
      <c r="O500" s="298" t="s">
        <v>15855</v>
      </c>
      <c r="P500" s="299" t="s">
        <v>15857</v>
      </c>
      <c r="Q500" s="300" t="s">
        <v>16159</v>
      </c>
      <c r="R500" s="182" t="str">
        <f ca="1">IF(ISERROR($V500),"",OFFSET('Smelter Look-up'!$C$4,$V500-4,0)&amp;"")</f>
        <v>Tanaka Kikinzoku Kogyo K.K.</v>
      </c>
      <c r="S500" s="181" t="str">
        <f t="shared" ca="1" si="68"/>
        <v>JP</v>
      </c>
      <c r="T500" s="181" t="str">
        <f ca="1">IF(B500="","",IF(ISERROR(MATCH($J500,SorP!$B$1:$B$6226,0)),"",INDIRECT("'SorP'!$A$"&amp;MATCH($S500&amp;$J500,SorP!C:C,0))))</f>
        <v>JP-14</v>
      </c>
      <c r="U500" s="201"/>
      <c r="V500" s="226">
        <f>IF(C500="",NA(),IF(OR(C500="Smelter not listed",C500="Smelter not yet identified"),MATCH($B500&amp;$D500,'Smelter Look-up'!$J:$J,0),MATCH($B500&amp;$C500,'Smelter Look-up'!$J:$J,0)))</f>
        <v>289</v>
      </c>
      <c r="X500" s="227">
        <f t="shared" si="69"/>
        <v>0</v>
      </c>
      <c r="AB500" s="228" t="str">
        <f t="shared" si="70"/>
        <v>GoldTanaka Kikinzoku Kogyo K.K.</v>
      </c>
    </row>
    <row r="501" spans="1:28" s="227" customFormat="1" ht="67.5">
      <c r="A501" s="301" t="s">
        <v>726</v>
      </c>
      <c r="B501" s="293" t="s">
        <v>1119</v>
      </c>
      <c r="C501" s="294" t="s">
        <v>1221</v>
      </c>
      <c r="D501" s="295" t="s">
        <v>1221</v>
      </c>
      <c r="E501" s="293" t="s">
        <v>1098</v>
      </c>
      <c r="F501" s="293" t="s">
        <v>726</v>
      </c>
      <c r="G501" s="293" t="s">
        <v>13217</v>
      </c>
      <c r="H501" s="302" t="s">
        <v>15880</v>
      </c>
      <c r="I501" s="297" t="s">
        <v>1655</v>
      </c>
      <c r="J501" s="297" t="s">
        <v>1656</v>
      </c>
      <c r="K501" s="298" t="s">
        <v>15855</v>
      </c>
      <c r="L501" s="298" t="s">
        <v>15855</v>
      </c>
      <c r="M501" s="298" t="s">
        <v>15855</v>
      </c>
      <c r="N501" s="298" t="s">
        <v>15855</v>
      </c>
      <c r="O501" s="298" t="s">
        <v>15855</v>
      </c>
      <c r="P501" s="299" t="s">
        <v>15857</v>
      </c>
      <c r="Q501" s="300" t="s">
        <v>15912</v>
      </c>
      <c r="R501" s="182" t="str">
        <f ca="1">IF(ISERROR($V501),"",OFFSET('Smelter Look-up'!$C$4,$V501-4,0)&amp;"")</f>
        <v>Tanaka Kikinzoku Kogyo K.K.</v>
      </c>
      <c r="S501" s="181" t="str">
        <f t="shared" ca="1" si="68"/>
        <v>JP</v>
      </c>
      <c r="T501" s="181" t="str">
        <f ca="1">IF(B501="","",IF(ISERROR(MATCH($J501,SorP!$B$1:$B$6226,0)),"",INDIRECT("'SorP'!$A$"&amp;MATCH($S501&amp;$J501,SorP!C:C,0))))</f>
        <v>JP-14</v>
      </c>
      <c r="U501" s="201"/>
      <c r="V501" s="226">
        <f>IF(C501="",NA(),IF(OR(C501="Smelter not listed",C501="Smelter not yet identified"),MATCH($B501&amp;$D501,'Smelter Look-up'!$J:$J,0),MATCH($B501&amp;$C501,'Smelter Look-up'!$J:$J,0)))</f>
        <v>289</v>
      </c>
      <c r="X501" s="227">
        <f t="shared" si="69"/>
        <v>0</v>
      </c>
      <c r="AB501" s="228" t="str">
        <f t="shared" si="70"/>
        <v>GoldTanaka Kikinzoku Kogyo K.K.</v>
      </c>
    </row>
    <row r="502" spans="1:28" s="227" customFormat="1" ht="67.5">
      <c r="A502" s="301" t="s">
        <v>726</v>
      </c>
      <c r="B502" s="293" t="s">
        <v>1119</v>
      </c>
      <c r="C502" s="294" t="s">
        <v>1221</v>
      </c>
      <c r="D502" s="295" t="s">
        <v>1221</v>
      </c>
      <c r="E502" s="293" t="s">
        <v>1098</v>
      </c>
      <c r="F502" s="293" t="s">
        <v>726</v>
      </c>
      <c r="G502" s="293" t="s">
        <v>13217</v>
      </c>
      <c r="H502" s="302" t="s">
        <v>15880</v>
      </c>
      <c r="I502" s="297" t="s">
        <v>1655</v>
      </c>
      <c r="J502" s="297" t="s">
        <v>1656</v>
      </c>
      <c r="K502" s="298" t="s">
        <v>16279</v>
      </c>
      <c r="L502" s="298" t="s">
        <v>16280</v>
      </c>
      <c r="M502" s="298" t="s">
        <v>2334</v>
      </c>
      <c r="N502" s="298" t="s">
        <v>16281</v>
      </c>
      <c r="O502" s="298" t="s">
        <v>16281</v>
      </c>
      <c r="P502" s="299" t="s">
        <v>15857</v>
      </c>
      <c r="Q502" s="300" t="s">
        <v>16282</v>
      </c>
      <c r="R502" s="182" t="str">
        <f ca="1">IF(ISERROR($V502),"",OFFSET('Smelter Look-up'!$C$4,$V502-4,0)&amp;"")</f>
        <v>Tanaka Kikinzoku Kogyo K.K.</v>
      </c>
      <c r="S502" s="181" t="str">
        <f t="shared" ca="1" si="68"/>
        <v>JP</v>
      </c>
      <c r="T502" s="181" t="str">
        <f ca="1">IF(B502="","",IF(ISERROR(MATCH($J502,SorP!$B$1:$B$6226,0)),"",INDIRECT("'SorP'!$A$"&amp;MATCH($S502&amp;$J502,SorP!C:C,0))))</f>
        <v>JP-14</v>
      </c>
      <c r="U502" s="201"/>
      <c r="V502" s="226">
        <f>IF(C502="",NA(),IF(OR(C502="Smelter not listed",C502="Smelter not yet identified"),MATCH($B502&amp;$D502,'Smelter Look-up'!$J:$J,0),MATCH($B502&amp;$C502,'Smelter Look-up'!$J:$J,0)))</f>
        <v>289</v>
      </c>
      <c r="X502" s="227">
        <f t="shared" si="69"/>
        <v>0</v>
      </c>
      <c r="AB502" s="228" t="str">
        <f t="shared" si="70"/>
        <v>GoldTanaka Kikinzoku Kogyo K.K.</v>
      </c>
    </row>
    <row r="503" spans="1:28" s="227" customFormat="1" ht="67.5">
      <c r="A503" s="301" t="s">
        <v>726</v>
      </c>
      <c r="B503" s="293" t="s">
        <v>1119</v>
      </c>
      <c r="C503" s="294" t="s">
        <v>1221</v>
      </c>
      <c r="D503" s="295" t="s">
        <v>1221</v>
      </c>
      <c r="E503" s="293" t="s">
        <v>1098</v>
      </c>
      <c r="F503" s="293" t="s">
        <v>726</v>
      </c>
      <c r="G503" s="293" t="s">
        <v>13217</v>
      </c>
      <c r="H503" s="296" t="s">
        <v>16286</v>
      </c>
      <c r="I503" s="297" t="s">
        <v>1655</v>
      </c>
      <c r="J503" s="297" t="s">
        <v>1656</v>
      </c>
      <c r="K503" s="298" t="s">
        <v>16287</v>
      </c>
      <c r="L503" s="298" t="s">
        <v>16288</v>
      </c>
      <c r="M503" s="298" t="s">
        <v>2334</v>
      </c>
      <c r="N503" s="298" t="s">
        <v>16281</v>
      </c>
      <c r="O503" s="298" t="s">
        <v>16281</v>
      </c>
      <c r="P503" s="299" t="s">
        <v>15857</v>
      </c>
      <c r="Q503" s="300" t="s">
        <v>16289</v>
      </c>
      <c r="R503" s="182" t="str">
        <f ca="1">IF(ISERROR($V503),"",OFFSET('Smelter Look-up'!$C$4,$V503-4,0)&amp;"")</f>
        <v>Tanaka Kikinzoku Kogyo K.K.</v>
      </c>
      <c r="S503" s="181" t="str">
        <f t="shared" ca="1" si="68"/>
        <v>JP</v>
      </c>
      <c r="T503" s="181" t="str">
        <f ca="1">IF(B503="","",IF(ISERROR(MATCH($J503,SorP!$B$1:$B$6226,0)),"",INDIRECT("'SorP'!$A$"&amp;MATCH($S503&amp;$J503,SorP!C:C,0))))</f>
        <v>JP-14</v>
      </c>
      <c r="U503" s="201"/>
      <c r="V503" s="226">
        <f>IF(C503="",NA(),IF(OR(C503="Smelter not listed",C503="Smelter not yet identified"),MATCH($B503&amp;$D503,'Smelter Look-up'!$J:$J,0),MATCH($B503&amp;$C503,'Smelter Look-up'!$J:$J,0)))</f>
        <v>289</v>
      </c>
      <c r="X503" s="227">
        <f t="shared" si="69"/>
        <v>0</v>
      </c>
      <c r="AB503" s="228" t="str">
        <f t="shared" si="70"/>
        <v>GoldTanaka Kikinzoku Kogyo K.K.</v>
      </c>
    </row>
    <row r="504" spans="1:28" s="227" customFormat="1" ht="81">
      <c r="A504" s="301" t="s">
        <v>728</v>
      </c>
      <c r="B504" s="293" t="s">
        <v>1119</v>
      </c>
      <c r="C504" s="294" t="s">
        <v>20</v>
      </c>
      <c r="D504" s="295" t="s">
        <v>2146</v>
      </c>
      <c r="E504" s="293" t="s">
        <v>1090</v>
      </c>
      <c r="F504" s="293" t="s">
        <v>728</v>
      </c>
      <c r="G504" s="293" t="s">
        <v>13217</v>
      </c>
      <c r="H504" s="296" t="s">
        <v>15855</v>
      </c>
      <c r="I504" s="297" t="s">
        <v>1647</v>
      </c>
      <c r="J504" s="297" t="s">
        <v>13597</v>
      </c>
      <c r="K504" s="298" t="s">
        <v>15855</v>
      </c>
      <c r="L504" s="298" t="s">
        <v>15855</v>
      </c>
      <c r="M504" s="298" t="s">
        <v>15855</v>
      </c>
      <c r="N504" s="298" t="s">
        <v>15855</v>
      </c>
      <c r="O504" s="298" t="s">
        <v>15855</v>
      </c>
      <c r="P504" s="299" t="s">
        <v>15857</v>
      </c>
      <c r="Q504" s="300" t="s">
        <v>15855</v>
      </c>
      <c r="R504" s="182" t="str">
        <f ca="1">IF(ISERROR($V504),"",OFFSET('Smelter Look-up'!$C$4,$V504-4,0)&amp;"")</f>
        <v>Shandong Gold Smelting Co., Ltd.</v>
      </c>
      <c r="S504" s="181" t="str">
        <f t="shared" ca="1" si="68"/>
        <v>CN</v>
      </c>
      <c r="T504" s="181" t="str">
        <f ca="1">IF(B504="","",IF(ISERROR(MATCH($J504,SorP!$B$1:$B$6226,0)),"",INDIRECT("'SorP'!$A$"&amp;MATCH($S504&amp;$J504,SorP!C:C,0))))</f>
        <v>CN-SD</v>
      </c>
      <c r="U504" s="201"/>
      <c r="V504" s="226">
        <f>IF(C504="",NA(),IF(OR(C504="Smelter not listed",C504="Smelter not yet identified"),MATCH($B504&amp;$D504,'Smelter Look-up'!$J:$J,0),MATCH($B504&amp;$C504,'Smelter Look-up'!$J:$J,0)))</f>
        <v>59</v>
      </c>
      <c r="X504" s="227">
        <f t="shared" si="69"/>
        <v>0</v>
      </c>
      <c r="AB504" s="228" t="str">
        <f t="shared" si="70"/>
        <v>GoldChina's Shandong Gold Mining Co., Ltd</v>
      </c>
    </row>
    <row r="505" spans="1:28" s="227" customFormat="1" ht="67.5">
      <c r="A505" s="301" t="s">
        <v>728</v>
      </c>
      <c r="B505" s="293" t="s">
        <v>1119</v>
      </c>
      <c r="C505" s="294" t="s">
        <v>15020</v>
      </c>
      <c r="D505" s="295" t="s">
        <v>2146</v>
      </c>
      <c r="E505" s="293" t="s">
        <v>1090</v>
      </c>
      <c r="F505" s="293" t="s">
        <v>728</v>
      </c>
      <c r="G505" s="293" t="s">
        <v>13217</v>
      </c>
      <c r="H505" s="296" t="s">
        <v>15855</v>
      </c>
      <c r="I505" s="297" t="s">
        <v>1647</v>
      </c>
      <c r="J505" s="297" t="s">
        <v>13597</v>
      </c>
      <c r="K505" s="298" t="s">
        <v>15855</v>
      </c>
      <c r="L505" s="298" t="s">
        <v>15855</v>
      </c>
      <c r="M505" s="298" t="s">
        <v>15855</v>
      </c>
      <c r="N505" s="298" t="s">
        <v>15855</v>
      </c>
      <c r="O505" s="298" t="s">
        <v>15858</v>
      </c>
      <c r="P505" s="299" t="s">
        <v>15857</v>
      </c>
      <c r="Q505" s="300" t="s">
        <v>15855</v>
      </c>
      <c r="R505" s="182" t="str">
        <f ca="1">IF(ISERROR($V505),"",OFFSET('Smelter Look-up'!$C$4,$V505-4,0)&amp;"")</f>
        <v>Shandong Gold Smelting Co., Ltd.</v>
      </c>
      <c r="S505" s="181" t="str">
        <f t="shared" ca="1" si="68"/>
        <v>CN</v>
      </c>
      <c r="T505" s="181" t="str">
        <f ca="1">IF(B505="","",IF(ISERROR(MATCH($J505,SorP!$B$1:$B$6226,0)),"",INDIRECT("'SorP'!$A$"&amp;MATCH($S505&amp;$J505,SorP!C:C,0))))</f>
        <v>CN-SD</v>
      </c>
      <c r="U505" s="201"/>
      <c r="V505" s="226">
        <f>IF(C505="",NA(),IF(OR(C505="Smelter not listed",C505="Smelter not yet identified"),MATCH($B505&amp;$D505,'Smelter Look-up'!$J:$J,0),MATCH($B505&amp;$C505,'Smelter Look-up'!$J:$J,0)))</f>
        <v>249</v>
      </c>
      <c r="X505" s="227">
        <f t="shared" si="69"/>
        <v>0</v>
      </c>
      <c r="AB505" s="228" t="str">
        <f t="shared" si="70"/>
        <v>GoldShandong Gold Smelting Co., Ltd.</v>
      </c>
    </row>
    <row r="506" spans="1:28" s="227" customFormat="1" ht="67.5">
      <c r="A506" s="301" t="s">
        <v>728</v>
      </c>
      <c r="B506" s="293" t="s">
        <v>1119</v>
      </c>
      <c r="C506" s="294" t="s">
        <v>1649</v>
      </c>
      <c r="D506" s="295" t="s">
        <v>2146</v>
      </c>
      <c r="E506" s="293" t="s">
        <v>1090</v>
      </c>
      <c r="F506" s="293" t="s">
        <v>728</v>
      </c>
      <c r="G506" s="293" t="s">
        <v>13217</v>
      </c>
      <c r="H506" s="296" t="s">
        <v>15855</v>
      </c>
      <c r="I506" s="297" t="s">
        <v>1647</v>
      </c>
      <c r="J506" s="297" t="s">
        <v>13597</v>
      </c>
      <c r="K506" s="298" t="s">
        <v>15855</v>
      </c>
      <c r="L506" s="298" t="s">
        <v>15855</v>
      </c>
      <c r="M506" s="298" t="s">
        <v>15855</v>
      </c>
      <c r="N506" s="298" t="s">
        <v>15855</v>
      </c>
      <c r="O506" s="298" t="s">
        <v>15855</v>
      </c>
      <c r="P506" s="299" t="s">
        <v>15857</v>
      </c>
      <c r="Q506" s="300" t="s">
        <v>15855</v>
      </c>
      <c r="R506" s="182" t="str">
        <f ca="1">IF(ISERROR($V506),"",OFFSET('Smelter Look-up'!$C$4,$V506-4,0)&amp;"")</f>
        <v>Shandong Gold Smelting Co., Ltd.</v>
      </c>
      <c r="S506" s="181" t="str">
        <f t="shared" ca="1" si="68"/>
        <v>CN</v>
      </c>
      <c r="T506" s="181" t="str">
        <f ca="1">IF(B506="","",IF(ISERROR(MATCH($J506,SorP!$B$1:$B$6226,0)),"",INDIRECT("'SorP'!$A$"&amp;MATCH($S506&amp;$J506,SorP!C:C,0))))</f>
        <v>CN-SD</v>
      </c>
      <c r="U506" s="201"/>
      <c r="V506" s="226">
        <f>IF(C506="",NA(),IF(OR(C506="Smelter not listed",C506="Smelter not yet identified"),MATCH($B506&amp;$D506,'Smelter Look-up'!$J:$J,0),MATCH($B506&amp;$C506,'Smelter Look-up'!$J:$J,0)))</f>
        <v>257</v>
      </c>
      <c r="X506" s="227">
        <f t="shared" si="69"/>
        <v>0</v>
      </c>
      <c r="AB506" s="228" t="str">
        <f t="shared" si="70"/>
        <v>GoldShangdong Gold (Laizhou)</v>
      </c>
    </row>
    <row r="507" spans="1:28" s="227" customFormat="1" ht="94.5">
      <c r="A507" s="301" t="s">
        <v>728</v>
      </c>
      <c r="B507" s="293" t="s">
        <v>1119</v>
      </c>
      <c r="C507" s="294" t="s">
        <v>2146</v>
      </c>
      <c r="D507" s="295" t="s">
        <v>2146</v>
      </c>
      <c r="E507" s="293" t="s">
        <v>1090</v>
      </c>
      <c r="F507" s="293" t="s">
        <v>728</v>
      </c>
      <c r="G507" s="293" t="s">
        <v>15864</v>
      </c>
      <c r="H507" s="302" t="s">
        <v>15880</v>
      </c>
      <c r="I507" s="297" t="s">
        <v>1647</v>
      </c>
      <c r="J507" s="297" t="s">
        <v>16239</v>
      </c>
      <c r="K507" s="298" t="s">
        <v>15855</v>
      </c>
      <c r="L507" s="298" t="s">
        <v>15855</v>
      </c>
      <c r="M507" s="298" t="s">
        <v>15855</v>
      </c>
      <c r="N507" s="298" t="s">
        <v>15896</v>
      </c>
      <c r="O507" s="298" t="s">
        <v>15896</v>
      </c>
      <c r="P507" s="299" t="s">
        <v>15857</v>
      </c>
      <c r="Q507" s="300" t="s">
        <v>15855</v>
      </c>
      <c r="R507" s="182" t="str">
        <f ca="1">IF(ISERROR($V507),"",OFFSET('Smelter Look-up'!$C$4,$V507-4,0)&amp;"")</f>
        <v>Shandong Gold Smelting Co., Ltd.</v>
      </c>
      <c r="S507" s="181" t="str">
        <f t="shared" ca="1" si="68"/>
        <v>CN</v>
      </c>
      <c r="T507" s="181" t="str">
        <f ca="1">IF(B507="","",IF(ISERROR(MATCH($J507,SorP!$B$1:$B$6226,0)),"",INDIRECT("'SorP'!$A$"&amp;MATCH($S507&amp;$J507,SorP!C:C,0))))</f>
        <v/>
      </c>
      <c r="U507" s="201"/>
      <c r="V507" s="226">
        <f>IF(C507="",NA(),IF(OR(C507="Smelter not listed",C507="Smelter not yet identified"),MATCH($B507&amp;$D507,'Smelter Look-up'!$J:$J,0),MATCH($B507&amp;$C507,'Smelter Look-up'!$J:$J,0)))</f>
        <v>293</v>
      </c>
      <c r="X507" s="227">
        <f t="shared" si="69"/>
        <v>0</v>
      </c>
      <c r="AB507" s="228" t="str">
        <f t="shared" si="70"/>
        <v>GoldThe Refinery of Shandong Gold Mining Co., Ltd.</v>
      </c>
    </row>
    <row r="508" spans="1:28" s="227" customFormat="1" ht="94.5">
      <c r="A508" s="301" t="s">
        <v>728</v>
      </c>
      <c r="B508" s="293" t="s">
        <v>1119</v>
      </c>
      <c r="C508" s="294" t="s">
        <v>2146</v>
      </c>
      <c r="D508" s="295" t="s">
        <v>2146</v>
      </c>
      <c r="E508" s="293" t="s">
        <v>1090</v>
      </c>
      <c r="F508" s="293" t="s">
        <v>728</v>
      </c>
      <c r="G508" s="293" t="s">
        <v>13217</v>
      </c>
      <c r="H508" s="296" t="s">
        <v>15855</v>
      </c>
      <c r="I508" s="297" t="s">
        <v>1647</v>
      </c>
      <c r="J508" s="297" t="s">
        <v>13597</v>
      </c>
      <c r="K508" s="298" t="s">
        <v>15855</v>
      </c>
      <c r="L508" s="298" t="s">
        <v>15855</v>
      </c>
      <c r="M508" s="298" t="s">
        <v>15855</v>
      </c>
      <c r="N508" s="298" t="s">
        <v>15855</v>
      </c>
      <c r="O508" s="298" t="s">
        <v>15855</v>
      </c>
      <c r="P508" s="299" t="s">
        <v>15857</v>
      </c>
      <c r="Q508" s="300" t="s">
        <v>15855</v>
      </c>
      <c r="R508" s="182" t="str">
        <f ca="1">IF(ISERROR($V508),"",OFFSET('Smelter Look-up'!$C$4,$V508-4,0)&amp;"")</f>
        <v>Shandong Gold Smelting Co., Ltd.</v>
      </c>
      <c r="S508" s="181" t="str">
        <f t="shared" ca="1" si="68"/>
        <v>CN</v>
      </c>
      <c r="T508" s="181" t="str">
        <f ca="1">IF(B508="","",IF(ISERROR(MATCH($J508,SorP!$B$1:$B$6226,0)),"",INDIRECT("'SorP'!$A$"&amp;MATCH($S508&amp;$J508,SorP!C:C,0))))</f>
        <v>CN-SD</v>
      </c>
      <c r="U508" s="201"/>
      <c r="V508" s="226">
        <f>IF(C508="",NA(),IF(OR(C508="Smelter not listed",C508="Smelter not yet identified"),MATCH($B508&amp;$D508,'Smelter Look-up'!$J:$J,0),MATCH($B508&amp;$C508,'Smelter Look-up'!$J:$J,0)))</f>
        <v>293</v>
      </c>
      <c r="X508" s="227">
        <f t="shared" si="69"/>
        <v>0</v>
      </c>
      <c r="AB508" s="228" t="str">
        <f t="shared" si="70"/>
        <v>GoldThe Refinery of Shandong Gold Mining Co., Ltd.</v>
      </c>
    </row>
    <row r="509" spans="1:28" s="227" customFormat="1" ht="94.5">
      <c r="A509" s="301" t="s">
        <v>728</v>
      </c>
      <c r="B509" s="293" t="s">
        <v>1119</v>
      </c>
      <c r="C509" s="294" t="s">
        <v>2146</v>
      </c>
      <c r="D509" s="295" t="s">
        <v>2146</v>
      </c>
      <c r="E509" s="293" t="s">
        <v>1090</v>
      </c>
      <c r="F509" s="293" t="s">
        <v>728</v>
      </c>
      <c r="G509" s="293" t="s">
        <v>13217</v>
      </c>
      <c r="H509" s="302" t="s">
        <v>15880</v>
      </c>
      <c r="I509" s="297" t="s">
        <v>1647</v>
      </c>
      <c r="J509" s="297" t="s">
        <v>16239</v>
      </c>
      <c r="K509" s="298" t="s">
        <v>15855</v>
      </c>
      <c r="L509" s="298" t="s">
        <v>15855</v>
      </c>
      <c r="M509" s="298" t="s">
        <v>15855</v>
      </c>
      <c r="N509" s="298" t="s">
        <v>15855</v>
      </c>
      <c r="O509" s="298" t="s">
        <v>15855</v>
      </c>
      <c r="P509" s="299" t="s">
        <v>15857</v>
      </c>
      <c r="Q509" s="300" t="s">
        <v>15855</v>
      </c>
      <c r="R509" s="182" t="str">
        <f ca="1">IF(ISERROR($V509),"",OFFSET('Smelter Look-up'!$C$4,$V509-4,0)&amp;"")</f>
        <v>Shandong Gold Smelting Co., Ltd.</v>
      </c>
      <c r="S509" s="181" t="str">
        <f t="shared" ca="1" si="68"/>
        <v>CN</v>
      </c>
      <c r="T509" s="181" t="str">
        <f ca="1">IF(B509="","",IF(ISERROR(MATCH($J509,SorP!$B$1:$B$6226,0)),"",INDIRECT("'SorP'!$A$"&amp;MATCH($S509&amp;$J509,SorP!C:C,0))))</f>
        <v/>
      </c>
      <c r="U509" s="201"/>
      <c r="V509" s="226">
        <f>IF(C509="",NA(),IF(OR(C509="Smelter not listed",C509="Smelter not yet identified"),MATCH($B509&amp;$D509,'Smelter Look-up'!$J:$J,0),MATCH($B509&amp;$C509,'Smelter Look-up'!$J:$J,0)))</f>
        <v>293</v>
      </c>
      <c r="X509" s="227">
        <f t="shared" si="69"/>
        <v>0</v>
      </c>
      <c r="AB509" s="228" t="str">
        <f t="shared" si="70"/>
        <v>GoldThe Refinery of Shandong Gold Mining Co., Ltd.</v>
      </c>
    </row>
    <row r="510" spans="1:28" s="227" customFormat="1" ht="54">
      <c r="A510" s="301" t="s">
        <v>729</v>
      </c>
      <c r="B510" s="293" t="s">
        <v>1119</v>
      </c>
      <c r="C510" s="294" t="s">
        <v>2147</v>
      </c>
      <c r="D510" s="295" t="s">
        <v>2147</v>
      </c>
      <c r="E510" s="293" t="s">
        <v>1098</v>
      </c>
      <c r="F510" s="293" t="s">
        <v>729</v>
      </c>
      <c r="G510" s="293" t="s">
        <v>13217</v>
      </c>
      <c r="H510" s="296" t="s">
        <v>15855</v>
      </c>
      <c r="I510" s="297" t="s">
        <v>1661</v>
      </c>
      <c r="J510" s="297" t="s">
        <v>1573</v>
      </c>
      <c r="K510" s="298" t="s">
        <v>15855</v>
      </c>
      <c r="L510" s="298" t="s">
        <v>15855</v>
      </c>
      <c r="M510" s="298" t="s">
        <v>15855</v>
      </c>
      <c r="N510" s="298" t="s">
        <v>15855</v>
      </c>
      <c r="O510" s="298" t="s">
        <v>15855</v>
      </c>
      <c r="P510" s="299" t="s">
        <v>15857</v>
      </c>
      <c r="Q510" s="300" t="s">
        <v>15855</v>
      </c>
      <c r="R510" s="182" t="str">
        <f ca="1">IF(ISERROR($V510),"",OFFSET('Smelter Look-up'!$C$4,$V510-4,0)&amp;"")</f>
        <v>Tokuriki Honten Co., Ltd.</v>
      </c>
      <c r="S510" s="181" t="str">
        <f t="shared" ca="1" si="68"/>
        <v>JP</v>
      </c>
      <c r="T510" s="181" t="str">
        <f ca="1">IF(B510="","",IF(ISERROR(MATCH($J510,SorP!$B$1:$B$6226,0)),"",INDIRECT("'SorP'!$A$"&amp;MATCH($S510&amp;$J510,SorP!C:C,0))))</f>
        <v>JP-11</v>
      </c>
      <c r="U510" s="201"/>
      <c r="V510" s="226">
        <f>IF(C510="",NA(),IF(OR(C510="Smelter not listed",C510="Smelter not yet identified"),MATCH($B510&amp;$D510,'Smelter Look-up'!$J:$J,0),MATCH($B510&amp;$C510,'Smelter Look-up'!$J:$J,0)))</f>
        <v>294</v>
      </c>
      <c r="X510" s="227">
        <f t="shared" si="69"/>
        <v>0</v>
      </c>
      <c r="AB510" s="228" t="str">
        <f t="shared" si="70"/>
        <v>GoldTokuriki Honten Co., Ltd.</v>
      </c>
    </row>
    <row r="511" spans="1:28" s="227" customFormat="1" ht="54">
      <c r="A511" s="301" t="s">
        <v>729</v>
      </c>
      <c r="B511" s="293" t="s">
        <v>1119</v>
      </c>
      <c r="C511" s="294" t="s">
        <v>2147</v>
      </c>
      <c r="D511" s="295" t="s">
        <v>2147</v>
      </c>
      <c r="E511" s="293" t="s">
        <v>1098</v>
      </c>
      <c r="F511" s="293" t="s">
        <v>729</v>
      </c>
      <c r="G511" s="293" t="s">
        <v>13217</v>
      </c>
      <c r="H511" s="296" t="s">
        <v>15855</v>
      </c>
      <c r="I511" s="297" t="s">
        <v>1661</v>
      </c>
      <c r="J511" s="297" t="s">
        <v>1573</v>
      </c>
      <c r="K511" s="298" t="s">
        <v>15855</v>
      </c>
      <c r="L511" s="298" t="s">
        <v>15855</v>
      </c>
      <c r="M511" s="298" t="s">
        <v>15855</v>
      </c>
      <c r="N511" s="298" t="s">
        <v>15855</v>
      </c>
      <c r="O511" s="298" t="s">
        <v>15855</v>
      </c>
      <c r="P511" s="299" t="s">
        <v>15857</v>
      </c>
      <c r="Q511" s="300" t="s">
        <v>15907</v>
      </c>
      <c r="R511" s="182" t="str">
        <f ca="1">IF(ISERROR($V511),"",OFFSET('Smelter Look-up'!$C$4,$V511-4,0)&amp;"")</f>
        <v>Tokuriki Honten Co., Ltd.</v>
      </c>
      <c r="S511" s="181" t="str">
        <f t="shared" ca="1" si="68"/>
        <v>JP</v>
      </c>
      <c r="T511" s="181" t="str">
        <f ca="1">IF(B511="","",IF(ISERROR(MATCH($J511,SorP!$B$1:$B$6226,0)),"",INDIRECT("'SorP'!$A$"&amp;MATCH($S511&amp;$J511,SorP!C:C,0))))</f>
        <v>JP-11</v>
      </c>
      <c r="U511" s="201"/>
      <c r="V511" s="226">
        <f>IF(C511="",NA(),IF(OR(C511="Smelter not listed",C511="Smelter not yet identified"),MATCH($B511&amp;$D511,'Smelter Look-up'!$J:$J,0),MATCH($B511&amp;$C511,'Smelter Look-up'!$J:$J,0)))</f>
        <v>294</v>
      </c>
      <c r="X511" s="227">
        <f t="shared" si="69"/>
        <v>0</v>
      </c>
      <c r="AB511" s="228" t="str">
        <f t="shared" si="70"/>
        <v>GoldTokuriki Honten Co., Ltd.</v>
      </c>
    </row>
    <row r="512" spans="1:28" s="227" customFormat="1" ht="54">
      <c r="A512" s="301" t="s">
        <v>729</v>
      </c>
      <c r="B512" s="293" t="s">
        <v>1119</v>
      </c>
      <c r="C512" s="294" t="s">
        <v>2147</v>
      </c>
      <c r="D512" s="295" t="s">
        <v>2147</v>
      </c>
      <c r="E512" s="293" t="s">
        <v>1098</v>
      </c>
      <c r="F512" s="293" t="s">
        <v>729</v>
      </c>
      <c r="G512" s="293" t="s">
        <v>13217</v>
      </c>
      <c r="H512" s="296" t="s">
        <v>15855</v>
      </c>
      <c r="I512" s="297" t="s">
        <v>1661</v>
      </c>
      <c r="J512" s="297" t="s">
        <v>1573</v>
      </c>
      <c r="K512" s="298" t="s">
        <v>15855</v>
      </c>
      <c r="L512" s="298" t="s">
        <v>15855</v>
      </c>
      <c r="M512" s="298" t="s">
        <v>15855</v>
      </c>
      <c r="N512" s="298" t="s">
        <v>15855</v>
      </c>
      <c r="O512" s="298" t="s">
        <v>15855</v>
      </c>
      <c r="P512" s="299" t="s">
        <v>15875</v>
      </c>
      <c r="Q512" s="300" t="s">
        <v>15855</v>
      </c>
      <c r="R512" s="182" t="str">
        <f ca="1">IF(ISERROR($V512),"",OFFSET('Smelter Look-up'!$C$4,$V512-4,0)&amp;"")</f>
        <v>Tokuriki Honten Co., Ltd.</v>
      </c>
      <c r="S512" s="181" t="str">
        <f t="shared" ca="1" si="68"/>
        <v>JP</v>
      </c>
      <c r="T512" s="181" t="str">
        <f ca="1">IF(B512="","",IF(ISERROR(MATCH($J512,SorP!$B$1:$B$6226,0)),"",INDIRECT("'SorP'!$A$"&amp;MATCH($S512&amp;$J512,SorP!C:C,0))))</f>
        <v>JP-11</v>
      </c>
      <c r="U512" s="201"/>
      <c r="V512" s="226">
        <f>IF(C512="",NA(),IF(OR(C512="Smelter not listed",C512="Smelter not yet identified"),MATCH($B512&amp;$D512,'Smelter Look-up'!$J:$J,0),MATCH($B512&amp;$C512,'Smelter Look-up'!$J:$J,0)))</f>
        <v>294</v>
      </c>
      <c r="X512" s="227">
        <f t="shared" si="69"/>
        <v>0</v>
      </c>
      <c r="AB512" s="228" t="str">
        <f t="shared" si="70"/>
        <v>GoldTokuriki Honten Co., Ltd.</v>
      </c>
    </row>
    <row r="513" spans="1:28" s="227" customFormat="1" ht="54">
      <c r="A513" s="301" t="s">
        <v>729</v>
      </c>
      <c r="B513" s="293" t="s">
        <v>1119</v>
      </c>
      <c r="C513" s="294" t="s">
        <v>2147</v>
      </c>
      <c r="D513" s="295" t="s">
        <v>2147</v>
      </c>
      <c r="E513" s="293" t="s">
        <v>1098</v>
      </c>
      <c r="F513" s="293" t="s">
        <v>729</v>
      </c>
      <c r="G513" s="293" t="s">
        <v>13217</v>
      </c>
      <c r="H513" s="296" t="s">
        <v>15855</v>
      </c>
      <c r="I513" s="297" t="s">
        <v>1661</v>
      </c>
      <c r="J513" s="297" t="s">
        <v>1573</v>
      </c>
      <c r="K513" s="298" t="s">
        <v>15855</v>
      </c>
      <c r="L513" s="298" t="s">
        <v>15855</v>
      </c>
      <c r="M513" s="298" t="s">
        <v>15855</v>
      </c>
      <c r="N513" s="298" t="s">
        <v>15855</v>
      </c>
      <c r="O513" s="298" t="s">
        <v>16278</v>
      </c>
      <c r="P513" s="299" t="s">
        <v>15857</v>
      </c>
      <c r="Q513" s="300" t="s">
        <v>15855</v>
      </c>
      <c r="R513" s="182" t="str">
        <f ca="1">IF(ISERROR($V513),"",OFFSET('Smelter Look-up'!$C$4,$V513-4,0)&amp;"")</f>
        <v>Tokuriki Honten Co., Ltd.</v>
      </c>
      <c r="S513" s="181" t="str">
        <f t="shared" ca="1" si="68"/>
        <v>JP</v>
      </c>
      <c r="T513" s="181" t="str">
        <f ca="1">IF(B513="","",IF(ISERROR(MATCH($J513,SorP!$B$1:$B$6226,0)),"",INDIRECT("'SorP'!$A$"&amp;MATCH($S513&amp;$J513,SorP!C:C,0))))</f>
        <v>JP-11</v>
      </c>
      <c r="U513" s="201"/>
      <c r="V513" s="226">
        <f>IF(C513="",NA(),IF(OR(C513="Smelter not listed",C513="Smelter not yet identified"),MATCH($B513&amp;$D513,'Smelter Look-up'!$J:$J,0),MATCH($B513&amp;$C513,'Smelter Look-up'!$J:$J,0)))</f>
        <v>294</v>
      </c>
      <c r="X513" s="227">
        <f t="shared" si="69"/>
        <v>0</v>
      </c>
      <c r="AB513" s="228" t="str">
        <f t="shared" si="70"/>
        <v>GoldTokuriki Honten Co., Ltd.</v>
      </c>
    </row>
    <row r="514" spans="1:28" s="227" customFormat="1" ht="54">
      <c r="A514" s="301" t="s">
        <v>729</v>
      </c>
      <c r="B514" s="293" t="s">
        <v>1119</v>
      </c>
      <c r="C514" s="294" t="s">
        <v>2147</v>
      </c>
      <c r="D514" s="295" t="s">
        <v>2147</v>
      </c>
      <c r="E514" s="293" t="s">
        <v>1098</v>
      </c>
      <c r="F514" s="293" t="s">
        <v>729</v>
      </c>
      <c r="G514" s="293" t="s">
        <v>13217</v>
      </c>
      <c r="H514" s="296" t="s">
        <v>15855</v>
      </c>
      <c r="I514" s="297" t="s">
        <v>1661</v>
      </c>
      <c r="J514" s="297" t="s">
        <v>1573</v>
      </c>
      <c r="K514" s="298" t="s">
        <v>16290</v>
      </c>
      <c r="L514" s="298" t="s">
        <v>16291</v>
      </c>
      <c r="M514" s="298" t="s">
        <v>15892</v>
      </c>
      <c r="N514" s="298" t="s">
        <v>15862</v>
      </c>
      <c r="O514" s="298" t="s">
        <v>15893</v>
      </c>
      <c r="P514" s="299" t="s">
        <v>15857</v>
      </c>
      <c r="Q514" s="300" t="s">
        <v>15855</v>
      </c>
      <c r="R514" s="182" t="str">
        <f ca="1">IF(ISERROR($V514),"",OFFSET('Smelter Look-up'!$C$4,$V514-4,0)&amp;"")</f>
        <v>Tokuriki Honten Co., Ltd.</v>
      </c>
      <c r="S514" s="181" t="str">
        <f t="shared" ca="1" si="68"/>
        <v>JP</v>
      </c>
      <c r="T514" s="181" t="str">
        <f ca="1">IF(B514="","",IF(ISERROR(MATCH($J514,SorP!$B$1:$B$6226,0)),"",INDIRECT("'SorP'!$A$"&amp;MATCH($S514&amp;$J514,SorP!C:C,0))))</f>
        <v>JP-11</v>
      </c>
      <c r="U514" s="201"/>
      <c r="V514" s="226">
        <f>IF(C514="",NA(),IF(OR(C514="Smelter not listed",C514="Smelter not yet identified"),MATCH($B514&amp;$D514,'Smelter Look-up'!$J:$J,0),MATCH($B514&amp;$C514,'Smelter Look-up'!$J:$J,0)))</f>
        <v>294</v>
      </c>
      <c r="X514" s="227">
        <f t="shared" si="69"/>
        <v>0</v>
      </c>
      <c r="AB514" s="228" t="str">
        <f t="shared" si="70"/>
        <v>GoldTokuriki Honten Co., Ltd.</v>
      </c>
    </row>
    <row r="515" spans="1:28" s="227" customFormat="1" ht="54">
      <c r="A515" s="301" t="s">
        <v>729</v>
      </c>
      <c r="B515" s="293" t="s">
        <v>1119</v>
      </c>
      <c r="C515" s="294" t="s">
        <v>2147</v>
      </c>
      <c r="D515" s="295" t="s">
        <v>2147</v>
      </c>
      <c r="E515" s="293" t="s">
        <v>1098</v>
      </c>
      <c r="F515" s="293" t="s">
        <v>729</v>
      </c>
      <c r="G515" s="293" t="s">
        <v>13217</v>
      </c>
      <c r="H515" s="302" t="s">
        <v>15880</v>
      </c>
      <c r="I515" s="297" t="s">
        <v>1661</v>
      </c>
      <c r="J515" s="297" t="s">
        <v>1573</v>
      </c>
      <c r="K515" s="298" t="s">
        <v>15855</v>
      </c>
      <c r="L515" s="298" t="s">
        <v>15855</v>
      </c>
      <c r="M515" s="298" t="s">
        <v>15855</v>
      </c>
      <c r="N515" s="298" t="s">
        <v>15855</v>
      </c>
      <c r="O515" s="298" t="s">
        <v>15855</v>
      </c>
      <c r="P515" s="299" t="s">
        <v>15857</v>
      </c>
      <c r="Q515" s="300" t="s">
        <v>15855</v>
      </c>
      <c r="R515" s="182" t="str">
        <f ca="1">IF(ISERROR($V515),"",OFFSET('Smelter Look-up'!$C$4,$V515-4,0)&amp;"")</f>
        <v>Tokuriki Honten Co., Ltd.</v>
      </c>
      <c r="S515" s="181" t="str">
        <f t="shared" ca="1" si="68"/>
        <v>JP</v>
      </c>
      <c r="T515" s="181" t="str">
        <f ca="1">IF(B515="","",IF(ISERROR(MATCH($J515,SorP!$B$1:$B$6226,0)),"",INDIRECT("'SorP'!$A$"&amp;MATCH($S515&amp;$J515,SorP!C:C,0))))</f>
        <v>JP-11</v>
      </c>
      <c r="U515" s="201"/>
      <c r="V515" s="226">
        <f>IF(C515="",NA(),IF(OR(C515="Smelter not listed",C515="Smelter not yet identified"),MATCH($B515&amp;$D515,'Smelter Look-up'!$J:$J,0),MATCH($B515&amp;$C515,'Smelter Look-up'!$J:$J,0)))</f>
        <v>294</v>
      </c>
      <c r="X515" s="227">
        <f t="shared" si="69"/>
        <v>0</v>
      </c>
      <c r="AB515" s="228" t="str">
        <f t="shared" si="70"/>
        <v>GoldTokuriki Honten Co., Ltd.</v>
      </c>
    </row>
    <row r="516" spans="1:28" s="227" customFormat="1" ht="54">
      <c r="A516" s="301" t="s">
        <v>729</v>
      </c>
      <c r="B516" s="293" t="s">
        <v>1119</v>
      </c>
      <c r="C516" s="294" t="s">
        <v>2147</v>
      </c>
      <c r="D516" s="295" t="s">
        <v>2147</v>
      </c>
      <c r="E516" s="293" t="s">
        <v>1098</v>
      </c>
      <c r="F516" s="293" t="s">
        <v>729</v>
      </c>
      <c r="G516" s="293" t="s">
        <v>13217</v>
      </c>
      <c r="H516" s="302" t="s">
        <v>15880</v>
      </c>
      <c r="I516" s="297" t="s">
        <v>1661</v>
      </c>
      <c r="J516" s="297" t="s">
        <v>1573</v>
      </c>
      <c r="K516" s="298" t="s">
        <v>15855</v>
      </c>
      <c r="L516" s="298" t="s">
        <v>15855</v>
      </c>
      <c r="M516" s="298" t="s">
        <v>15855</v>
      </c>
      <c r="N516" s="298" t="s">
        <v>15855</v>
      </c>
      <c r="O516" s="298" t="s">
        <v>15855</v>
      </c>
      <c r="P516" s="299" t="s">
        <v>15857</v>
      </c>
      <c r="Q516" s="300" t="s">
        <v>16159</v>
      </c>
      <c r="R516" s="182" t="str">
        <f ca="1">IF(ISERROR($V516),"",OFFSET('Smelter Look-up'!$C$4,$V516-4,0)&amp;"")</f>
        <v>Tokuriki Honten Co., Ltd.</v>
      </c>
      <c r="S516" s="181" t="str">
        <f t="shared" ca="1" si="68"/>
        <v>JP</v>
      </c>
      <c r="T516" s="181" t="str">
        <f ca="1">IF(B516="","",IF(ISERROR(MATCH($J516,SorP!$B$1:$B$6226,0)),"",INDIRECT("'SorP'!$A$"&amp;MATCH($S516&amp;$J516,SorP!C:C,0))))</f>
        <v>JP-11</v>
      </c>
      <c r="U516" s="201"/>
      <c r="V516" s="226">
        <f>IF(C516="",NA(),IF(OR(C516="Smelter not listed",C516="Smelter not yet identified"),MATCH($B516&amp;$D516,'Smelter Look-up'!$J:$J,0),MATCH($B516&amp;$C516,'Smelter Look-up'!$J:$J,0)))</f>
        <v>294</v>
      </c>
      <c r="X516" s="227">
        <f t="shared" si="69"/>
        <v>0</v>
      </c>
      <c r="AB516" s="228" t="str">
        <f t="shared" si="70"/>
        <v>GoldTokuriki Honten Co., Ltd.</v>
      </c>
    </row>
    <row r="517" spans="1:28" s="227" customFormat="1" ht="54">
      <c r="A517" s="301" t="s">
        <v>729</v>
      </c>
      <c r="B517" s="293" t="s">
        <v>1119</v>
      </c>
      <c r="C517" s="294" t="s">
        <v>2147</v>
      </c>
      <c r="D517" s="295" t="s">
        <v>2147</v>
      </c>
      <c r="E517" s="293" t="s">
        <v>1098</v>
      </c>
      <c r="F517" s="293" t="s">
        <v>729</v>
      </c>
      <c r="G517" s="293" t="s">
        <v>13217</v>
      </c>
      <c r="H517" s="302" t="s">
        <v>15880</v>
      </c>
      <c r="I517" s="297" t="s">
        <v>1661</v>
      </c>
      <c r="J517" s="297" t="s">
        <v>1573</v>
      </c>
      <c r="K517" s="298" t="s">
        <v>15855</v>
      </c>
      <c r="L517" s="298" t="s">
        <v>15855</v>
      </c>
      <c r="M517" s="298" t="s">
        <v>15855</v>
      </c>
      <c r="N517" s="298" t="s">
        <v>15855</v>
      </c>
      <c r="O517" s="298" t="s">
        <v>15855</v>
      </c>
      <c r="P517" s="299" t="s">
        <v>15857</v>
      </c>
      <c r="Q517" s="300" t="s">
        <v>15912</v>
      </c>
      <c r="R517" s="182" t="str">
        <f ca="1">IF(ISERROR($V517),"",OFFSET('Smelter Look-up'!$C$4,$V517-4,0)&amp;"")</f>
        <v>Tokuriki Honten Co., Ltd.</v>
      </c>
      <c r="S517" s="181" t="str">
        <f t="shared" ref="S517" ca="1" si="71">IF(B517="","",IF(ISERROR(MATCH($E517,CL,0)),"Unknown",INDIRECT("'C'!$A$"&amp;MATCH($E517,CL,0)+1)))</f>
        <v>JP</v>
      </c>
      <c r="T517" s="181" t="str">
        <f ca="1">IF(B517="","",IF(ISERROR(MATCH($J517,SorP!$B$1:$B$6226,0)),"",INDIRECT("'SorP'!$A$"&amp;MATCH($S517&amp;$J517,SorP!C:C,0))))</f>
        <v>JP-11</v>
      </c>
      <c r="U517" s="201"/>
      <c r="V517" s="226">
        <f>IF(C517="",NA(),IF(OR(C517="Smelter not listed",C517="Smelter not yet identified"),MATCH($B517&amp;$D517,'Smelter Look-up'!$J:$J,0),MATCH($B517&amp;$C517,'Smelter Look-up'!$J:$J,0)))</f>
        <v>294</v>
      </c>
      <c r="X517" s="227">
        <f t="shared" ref="X517" si="72">IF(AND(C517="Smelter not listed",OR(LEN(D517)=0,LEN(E517)=0)),1,0)</f>
        <v>0</v>
      </c>
      <c r="AB517" s="228" t="str">
        <f t="shared" ref="AB517" si="73">B517&amp;C517</f>
        <v>GoldTokuriki Honten Co., Ltd.</v>
      </c>
    </row>
    <row r="518" spans="1:28" s="227" customFormat="1" ht="94.5">
      <c r="A518" s="301" t="s">
        <v>730</v>
      </c>
      <c r="B518" s="293" t="s">
        <v>1119</v>
      </c>
      <c r="C518" s="294" t="s">
        <v>2181</v>
      </c>
      <c r="D518" s="295" t="s">
        <v>2181</v>
      </c>
      <c r="E518" s="293" t="s">
        <v>1090</v>
      </c>
      <c r="F518" s="293" t="s">
        <v>730</v>
      </c>
      <c r="G518" s="293" t="s">
        <v>13217</v>
      </c>
      <c r="H518" s="296" t="s">
        <v>15855</v>
      </c>
      <c r="I518" s="297" t="s">
        <v>1662</v>
      </c>
      <c r="J518" s="297" t="s">
        <v>13594</v>
      </c>
      <c r="K518" s="298" t="s">
        <v>15855</v>
      </c>
      <c r="L518" s="298" t="s">
        <v>15855</v>
      </c>
      <c r="M518" s="298" t="s">
        <v>15855</v>
      </c>
      <c r="N518" s="298" t="s">
        <v>15855</v>
      </c>
      <c r="O518" s="298" t="s">
        <v>15858</v>
      </c>
      <c r="P518" s="299" t="s">
        <v>15857</v>
      </c>
      <c r="Q518" s="300" t="s">
        <v>15855</v>
      </c>
      <c r="R518" s="182" t="str">
        <f ca="1">IF(ISERROR($V518),"",OFFSET('Smelter Look-up'!$C$4,$V518-4,0)&amp;"")</f>
        <v>Tongling Nonferrous Metals Group Co., Ltd.</v>
      </c>
      <c r="S518" s="181" t="str">
        <f t="shared" ref="S518:S549" ca="1" si="74">IF(B518="","",IF(ISERROR(MATCH($E518,CL,0)),"Unknown",INDIRECT("'C'!$A$"&amp;MATCH($E518,CL,0)+1)))</f>
        <v>CN</v>
      </c>
      <c r="T518" s="181" t="str">
        <f ca="1">IF(B518="","",IF(ISERROR(MATCH($J518,SorP!$B$1:$B$6226,0)),"",INDIRECT("'SorP'!$A$"&amp;MATCH($S518&amp;$J518,SorP!C:C,0))))</f>
        <v>CN-AH</v>
      </c>
      <c r="U518" s="201"/>
      <c r="V518" s="226">
        <f>IF(C518="",NA(),IF(OR(C518="Smelter not listed",C518="Smelter not yet identified"),MATCH($B518&amp;$D518,'Smelter Look-up'!$J:$J,0),MATCH($B518&amp;$C518,'Smelter Look-up'!$J:$J,0)))</f>
        <v>295</v>
      </c>
      <c r="X518" s="227">
        <f t="shared" ref="X518:X549" si="75">IF(AND(C518="Smelter not listed",OR(LEN(D518)=0,LEN(E518)=0)),1,0)</f>
        <v>0</v>
      </c>
      <c r="AB518" s="228" t="str">
        <f t="shared" ref="AB518:AB549" si="76">B518&amp;C518</f>
        <v>GoldTongling Nonferrous Metals Group Co., Ltd.</v>
      </c>
    </row>
    <row r="519" spans="1:28" s="227" customFormat="1" ht="54">
      <c r="A519" s="301" t="s">
        <v>2311</v>
      </c>
      <c r="B519" s="293" t="s">
        <v>1119</v>
      </c>
      <c r="C519" s="294" t="s">
        <v>2310</v>
      </c>
      <c r="D519" s="295" t="s">
        <v>2310</v>
      </c>
      <c r="E519" s="293" t="s">
        <v>1099</v>
      </c>
      <c r="F519" s="293" t="s">
        <v>2311</v>
      </c>
      <c r="G519" s="293" t="s">
        <v>13217</v>
      </c>
      <c r="H519" s="296" t="s">
        <v>15855</v>
      </c>
      <c r="I519" s="297" t="s">
        <v>2312</v>
      </c>
      <c r="J519" s="297" t="s">
        <v>2313</v>
      </c>
      <c r="K519" s="298" t="s">
        <v>15855</v>
      </c>
      <c r="L519" s="298" t="s">
        <v>15855</v>
      </c>
      <c r="M519" s="298" t="s">
        <v>15855</v>
      </c>
      <c r="N519" s="298" t="s">
        <v>15855</v>
      </c>
      <c r="O519" s="298" t="s">
        <v>15855</v>
      </c>
      <c r="P519" s="299" t="s">
        <v>15857</v>
      </c>
      <c r="Q519" s="300" t="s">
        <v>15855</v>
      </c>
      <c r="R519" s="182" t="str">
        <f ca="1">IF(ISERROR($V519),"",OFFSET('Smelter Look-up'!$C$4,$V519-4,0)&amp;"")</f>
        <v>TOO Tau-Ken-Altyn</v>
      </c>
      <c r="S519" s="181" t="str">
        <f t="shared" ca="1" si="74"/>
        <v>KZ</v>
      </c>
      <c r="T519" s="181" t="str">
        <f ca="1">IF(B519="","",IF(ISERROR(MATCH($J519,SorP!$B$1:$B$6226,0)),"",INDIRECT("'SorP'!$A$"&amp;MATCH($S519&amp;$J519,SorP!C:C,0))))</f>
        <v>KZ-ALA</v>
      </c>
      <c r="U519" s="201"/>
      <c r="V519" s="226">
        <f>IF(C519="",NA(),IF(OR(C519="Smelter not listed",C519="Smelter not yet identified"),MATCH($B519&amp;$D519,'Smelter Look-up'!$J:$J,0),MATCH($B519&amp;$C519,'Smelter Look-up'!$J:$J,0)))</f>
        <v>298</v>
      </c>
      <c r="X519" s="227">
        <f t="shared" si="75"/>
        <v>0</v>
      </c>
      <c r="AB519" s="228" t="str">
        <f t="shared" si="76"/>
        <v>GoldTOO Tau-Ken-Altyn</v>
      </c>
    </row>
    <row r="520" spans="1:28" s="227" customFormat="1" ht="54">
      <c r="A520" s="301" t="s">
        <v>2311</v>
      </c>
      <c r="B520" s="293" t="s">
        <v>1119</v>
      </c>
      <c r="C520" s="294" t="s">
        <v>2310</v>
      </c>
      <c r="D520" s="295" t="s">
        <v>2310</v>
      </c>
      <c r="E520" s="293" t="s">
        <v>1099</v>
      </c>
      <c r="F520" s="293" t="s">
        <v>2311</v>
      </c>
      <c r="G520" s="293" t="s">
        <v>13217</v>
      </c>
      <c r="H520" s="296" t="s">
        <v>15855</v>
      </c>
      <c r="I520" s="297" t="s">
        <v>2312</v>
      </c>
      <c r="J520" s="297" t="s">
        <v>2313</v>
      </c>
      <c r="K520" s="298" t="s">
        <v>15855</v>
      </c>
      <c r="L520" s="298" t="s">
        <v>15855</v>
      </c>
      <c r="M520" s="298" t="s">
        <v>15855</v>
      </c>
      <c r="N520" s="298" t="s">
        <v>15855</v>
      </c>
      <c r="O520" s="298" t="s">
        <v>15858</v>
      </c>
      <c r="P520" s="299" t="s">
        <v>15857</v>
      </c>
      <c r="Q520" s="300" t="s">
        <v>15855</v>
      </c>
      <c r="R520" s="182" t="str">
        <f ca="1">IF(ISERROR($V520),"",OFFSET('Smelter Look-up'!$C$4,$V520-4,0)&amp;"")</f>
        <v>TOO Tau-Ken-Altyn</v>
      </c>
      <c r="S520" s="181" t="str">
        <f t="shared" ca="1" si="74"/>
        <v>KZ</v>
      </c>
      <c r="T520" s="181" t="str">
        <f ca="1">IF(B520="","",IF(ISERROR(MATCH($J520,SorP!$B$1:$B$6226,0)),"",INDIRECT("'SorP'!$A$"&amp;MATCH($S520&amp;$J520,SorP!C:C,0))))</f>
        <v>KZ-ALA</v>
      </c>
      <c r="U520" s="201"/>
      <c r="V520" s="226">
        <f>IF(C520="",NA(),IF(OR(C520="Smelter not listed",C520="Smelter not yet identified"),MATCH($B520&amp;$D520,'Smelter Look-up'!$J:$J,0),MATCH($B520&amp;$C520,'Smelter Look-up'!$J:$J,0)))</f>
        <v>298</v>
      </c>
      <c r="X520" s="227">
        <f t="shared" si="75"/>
        <v>0</v>
      </c>
      <c r="AB520" s="228" t="str">
        <f t="shared" si="76"/>
        <v>GoldTOO Tau-Ken-Altyn</v>
      </c>
    </row>
    <row r="521" spans="1:28" s="227" customFormat="1" ht="54">
      <c r="A521" s="301" t="s">
        <v>2311</v>
      </c>
      <c r="B521" s="293" t="s">
        <v>1119</v>
      </c>
      <c r="C521" s="294" t="s">
        <v>2310</v>
      </c>
      <c r="D521" s="295" t="s">
        <v>2310</v>
      </c>
      <c r="E521" s="293" t="s">
        <v>1099</v>
      </c>
      <c r="F521" s="293" t="s">
        <v>2311</v>
      </c>
      <c r="G521" s="293" t="s">
        <v>13217</v>
      </c>
      <c r="H521" s="296" t="s">
        <v>15855</v>
      </c>
      <c r="I521" s="297" t="s">
        <v>2312</v>
      </c>
      <c r="J521" s="297" t="s">
        <v>2313</v>
      </c>
      <c r="K521" s="298" t="s">
        <v>16292</v>
      </c>
      <c r="L521" s="298" t="s">
        <v>16293</v>
      </c>
      <c r="M521" s="298" t="s">
        <v>16294</v>
      </c>
      <c r="N521" s="298" t="s">
        <v>15862</v>
      </c>
      <c r="O521" s="298" t="s">
        <v>15893</v>
      </c>
      <c r="P521" s="299" t="s">
        <v>15857</v>
      </c>
      <c r="Q521" s="300" t="s">
        <v>15855</v>
      </c>
      <c r="R521" s="182" t="str">
        <f ca="1">IF(ISERROR($V521),"",OFFSET('Smelter Look-up'!$C$4,$V521-4,0)&amp;"")</f>
        <v>TOO Tau-Ken-Altyn</v>
      </c>
      <c r="S521" s="181" t="str">
        <f t="shared" ca="1" si="74"/>
        <v>KZ</v>
      </c>
      <c r="T521" s="181" t="str">
        <f ca="1">IF(B521="","",IF(ISERROR(MATCH($J521,SorP!$B$1:$B$6226,0)),"",INDIRECT("'SorP'!$A$"&amp;MATCH($S521&amp;$J521,SorP!C:C,0))))</f>
        <v>KZ-ALA</v>
      </c>
      <c r="U521" s="201"/>
      <c r="V521" s="226">
        <f>IF(C521="",NA(),IF(OR(C521="Smelter not listed",C521="Smelter not yet identified"),MATCH($B521&amp;$D521,'Smelter Look-up'!$J:$J,0),MATCH($B521&amp;$C521,'Smelter Look-up'!$J:$J,0)))</f>
        <v>298</v>
      </c>
      <c r="X521" s="227">
        <f t="shared" si="75"/>
        <v>0</v>
      </c>
      <c r="AB521" s="228" t="str">
        <f t="shared" si="76"/>
        <v>GoldTOO Tau-Ken-Altyn</v>
      </c>
    </row>
    <row r="522" spans="1:28" s="227" customFormat="1" ht="27">
      <c r="A522" s="301" t="s">
        <v>731</v>
      </c>
      <c r="B522" s="293" t="s">
        <v>1119</v>
      </c>
      <c r="C522" s="294" t="s">
        <v>606</v>
      </c>
      <c r="D522" s="295" t="s">
        <v>606</v>
      </c>
      <c r="E522" s="293" t="s">
        <v>1101</v>
      </c>
      <c r="F522" s="293" t="s">
        <v>731</v>
      </c>
      <c r="G522" s="293" t="s">
        <v>13217</v>
      </c>
      <c r="H522" s="296" t="s">
        <v>15855</v>
      </c>
      <c r="I522" s="297" t="s">
        <v>1665</v>
      </c>
      <c r="J522" s="297" t="s">
        <v>12847</v>
      </c>
      <c r="K522" s="298" t="s">
        <v>15855</v>
      </c>
      <c r="L522" s="298" t="s">
        <v>15855</v>
      </c>
      <c r="M522" s="298" t="s">
        <v>15855</v>
      </c>
      <c r="N522" s="298" t="s">
        <v>15855</v>
      </c>
      <c r="O522" s="298" t="s">
        <v>15855</v>
      </c>
      <c r="P522" s="299" t="s">
        <v>15857</v>
      </c>
      <c r="Q522" s="300" t="s">
        <v>15855</v>
      </c>
      <c r="R522" s="182" t="str">
        <f ca="1">IF(ISERROR($V522),"",OFFSET('Smelter Look-up'!$C$4,$V522-4,0)&amp;"")</f>
        <v>Torecom</v>
      </c>
      <c r="S522" s="181" t="str">
        <f t="shared" ca="1" si="74"/>
        <v>KR</v>
      </c>
      <c r="T522" s="181" t="str">
        <f ca="1">IF(B522="","",IF(ISERROR(MATCH($J522,SorP!$B$1:$B$6226,0)),"",INDIRECT("'SorP'!$A$"&amp;MATCH($S522&amp;$J522,SorP!C:C,0))))</f>
        <v>KR-44</v>
      </c>
      <c r="U522" s="201"/>
      <c r="V522" s="226">
        <f>IF(C522="",NA(),IF(OR(C522="Smelter not listed",C522="Smelter not yet identified"),MATCH($B522&amp;$D522,'Smelter Look-up'!$J:$J,0),MATCH($B522&amp;$C522,'Smelter Look-up'!$J:$J,0)))</f>
        <v>299</v>
      </c>
      <c r="X522" s="227">
        <f t="shared" si="75"/>
        <v>0</v>
      </c>
      <c r="AB522" s="228" t="str">
        <f t="shared" si="76"/>
        <v>GoldTorecom</v>
      </c>
    </row>
    <row r="523" spans="1:28" s="227" customFormat="1" ht="27">
      <c r="A523" s="301" t="s">
        <v>731</v>
      </c>
      <c r="B523" s="293" t="s">
        <v>1119</v>
      </c>
      <c r="C523" s="294" t="s">
        <v>606</v>
      </c>
      <c r="D523" s="295" t="s">
        <v>606</v>
      </c>
      <c r="E523" s="293" t="s">
        <v>1101</v>
      </c>
      <c r="F523" s="293" t="s">
        <v>731</v>
      </c>
      <c r="G523" s="293" t="s">
        <v>13217</v>
      </c>
      <c r="H523" s="296" t="s">
        <v>15855</v>
      </c>
      <c r="I523" s="297" t="s">
        <v>1665</v>
      </c>
      <c r="J523" s="297" t="s">
        <v>12847</v>
      </c>
      <c r="K523" s="298" t="s">
        <v>15855</v>
      </c>
      <c r="L523" s="298" t="s">
        <v>15855</v>
      </c>
      <c r="M523" s="298" t="s">
        <v>15855</v>
      </c>
      <c r="N523" s="298" t="s">
        <v>15855</v>
      </c>
      <c r="O523" s="298" t="s">
        <v>15925</v>
      </c>
      <c r="P523" s="299" t="s">
        <v>15857</v>
      </c>
      <c r="Q523" s="300" t="s">
        <v>15855</v>
      </c>
      <c r="R523" s="182" t="str">
        <f ca="1">IF(ISERROR($V523),"",OFFSET('Smelter Look-up'!$C$4,$V523-4,0)&amp;"")</f>
        <v>Torecom</v>
      </c>
      <c r="S523" s="181" t="str">
        <f t="shared" ca="1" si="74"/>
        <v>KR</v>
      </c>
      <c r="T523" s="181" t="str">
        <f ca="1">IF(B523="","",IF(ISERROR(MATCH($J523,SorP!$B$1:$B$6226,0)),"",INDIRECT("'SorP'!$A$"&amp;MATCH($S523&amp;$J523,SorP!C:C,0))))</f>
        <v>KR-44</v>
      </c>
      <c r="U523" s="201"/>
      <c r="V523" s="226">
        <f>IF(C523="",NA(),IF(OR(C523="Smelter not listed",C523="Smelter not yet identified"),MATCH($B523&amp;$D523,'Smelter Look-up'!$J:$J,0),MATCH($B523&amp;$C523,'Smelter Look-up'!$J:$J,0)))</f>
        <v>299</v>
      </c>
      <c r="X523" s="227">
        <f t="shared" si="75"/>
        <v>0</v>
      </c>
      <c r="AB523" s="228" t="str">
        <f t="shared" si="76"/>
        <v>GoldTorecom</v>
      </c>
    </row>
    <row r="524" spans="1:28" s="227" customFormat="1" ht="27">
      <c r="A524" s="301" t="s">
        <v>731</v>
      </c>
      <c r="B524" s="293" t="s">
        <v>1119</v>
      </c>
      <c r="C524" s="294" t="s">
        <v>606</v>
      </c>
      <c r="D524" s="295" t="s">
        <v>606</v>
      </c>
      <c r="E524" s="293" t="s">
        <v>1101</v>
      </c>
      <c r="F524" s="293" t="s">
        <v>731</v>
      </c>
      <c r="G524" s="293" t="s">
        <v>13217</v>
      </c>
      <c r="H524" s="296" t="s">
        <v>15855</v>
      </c>
      <c r="I524" s="297" t="s">
        <v>1665</v>
      </c>
      <c r="J524" s="297" t="s">
        <v>12847</v>
      </c>
      <c r="K524" s="298" t="s">
        <v>16295</v>
      </c>
      <c r="L524" s="298" t="s">
        <v>16296</v>
      </c>
      <c r="M524" s="298" t="s">
        <v>16297</v>
      </c>
      <c r="N524" s="298" t="s">
        <v>15876</v>
      </c>
      <c r="O524" s="298" t="s">
        <v>15871</v>
      </c>
      <c r="P524" s="299" t="s">
        <v>15857</v>
      </c>
      <c r="Q524" s="300" t="s">
        <v>15855</v>
      </c>
      <c r="R524" s="182" t="str">
        <f ca="1">IF(ISERROR($V524),"",OFFSET('Smelter Look-up'!$C$4,$V524-4,0)&amp;"")</f>
        <v>Torecom</v>
      </c>
      <c r="S524" s="181" t="str">
        <f t="shared" ca="1" si="74"/>
        <v>KR</v>
      </c>
      <c r="T524" s="181" t="str">
        <f ca="1">IF(B524="","",IF(ISERROR(MATCH($J524,SorP!$B$1:$B$6226,0)),"",INDIRECT("'SorP'!$A$"&amp;MATCH($S524&amp;$J524,SorP!C:C,0))))</f>
        <v>KR-44</v>
      </c>
      <c r="U524" s="201"/>
      <c r="V524" s="226">
        <f>IF(C524="",NA(),IF(OR(C524="Smelter not listed",C524="Smelter not yet identified"),MATCH($B524&amp;$D524,'Smelter Look-up'!$J:$J,0),MATCH($B524&amp;$C524,'Smelter Look-up'!$J:$J,0)))</f>
        <v>299</v>
      </c>
      <c r="X524" s="227">
        <f t="shared" si="75"/>
        <v>0</v>
      </c>
      <c r="AB524" s="228" t="str">
        <f t="shared" si="76"/>
        <v>GoldTorecom</v>
      </c>
    </row>
    <row r="525" spans="1:28" s="227" customFormat="1" ht="67.5">
      <c r="A525" s="301" t="s">
        <v>144</v>
      </c>
      <c r="B525" s="293" t="s">
        <v>1119</v>
      </c>
      <c r="C525" s="294" t="s">
        <v>143</v>
      </c>
      <c r="D525" s="295" t="s">
        <v>143</v>
      </c>
      <c r="E525" s="293" t="s">
        <v>878</v>
      </c>
      <c r="F525" s="293" t="s">
        <v>144</v>
      </c>
      <c r="G525" s="293" t="s">
        <v>13217</v>
      </c>
      <c r="H525" s="296" t="s">
        <v>15855</v>
      </c>
      <c r="I525" s="297" t="s">
        <v>12385</v>
      </c>
      <c r="J525" s="297" t="s">
        <v>11033</v>
      </c>
      <c r="K525" s="298" t="s">
        <v>15855</v>
      </c>
      <c r="L525" s="298" t="s">
        <v>15855</v>
      </c>
      <c r="M525" s="298" t="s">
        <v>15855</v>
      </c>
      <c r="N525" s="298" t="s">
        <v>15855</v>
      </c>
      <c r="O525" s="298" t="s">
        <v>15855</v>
      </c>
      <c r="P525" s="299" t="s">
        <v>15857</v>
      </c>
      <c r="Q525" s="300" t="s">
        <v>15855</v>
      </c>
      <c r="R525" s="182" t="str">
        <f ca="1">IF(ISERROR($V525),"",OFFSET('Smelter Look-up'!$C$4,$V525-4,0)&amp;"")</f>
        <v>Umicore Precious Metals Thailand</v>
      </c>
      <c r="S525" s="181" t="str">
        <f t="shared" ca="1" si="74"/>
        <v>TH</v>
      </c>
      <c r="T525" s="181" t="str">
        <f ca="1">IF(B525="","",IF(ISERROR(MATCH($J525,SorP!$B$1:$B$6226,0)),"",INDIRECT("'SorP'!$A$"&amp;MATCH($S525&amp;$J525,SorP!C:C,0))))</f>
        <v>TH-10</v>
      </c>
      <c r="U525" s="201"/>
      <c r="V525" s="226">
        <f>IF(C525="",NA(),IF(OR(C525="Smelter not listed",C525="Smelter not yet identified"),MATCH($B525&amp;$D525,'Smelter Look-up'!$J:$J,0),MATCH($B525&amp;$C525,'Smelter Look-up'!$J:$J,0)))</f>
        <v>302</v>
      </c>
      <c r="X525" s="227">
        <f t="shared" si="75"/>
        <v>0</v>
      </c>
      <c r="AB525" s="228" t="str">
        <f t="shared" si="76"/>
        <v>GoldUmicore Precious Metals Thailand</v>
      </c>
    </row>
    <row r="526" spans="1:28" s="227" customFormat="1" ht="67.5">
      <c r="A526" s="301" t="s">
        <v>144</v>
      </c>
      <c r="B526" s="293" t="s">
        <v>1119</v>
      </c>
      <c r="C526" s="294" t="s">
        <v>143</v>
      </c>
      <c r="D526" s="295" t="s">
        <v>143</v>
      </c>
      <c r="E526" s="293" t="s">
        <v>878</v>
      </c>
      <c r="F526" s="293" t="s">
        <v>144</v>
      </c>
      <c r="G526" s="293" t="s">
        <v>13217</v>
      </c>
      <c r="H526" s="296" t="s">
        <v>15855</v>
      </c>
      <c r="I526" s="297" t="s">
        <v>12385</v>
      </c>
      <c r="J526" s="297" t="s">
        <v>11033</v>
      </c>
      <c r="K526" s="298" t="s">
        <v>15855</v>
      </c>
      <c r="L526" s="298" t="s">
        <v>15855</v>
      </c>
      <c r="M526" s="298" t="s">
        <v>15855</v>
      </c>
      <c r="N526" s="298" t="s">
        <v>15855</v>
      </c>
      <c r="O526" s="298" t="s">
        <v>15858</v>
      </c>
      <c r="P526" s="299" t="s">
        <v>15857</v>
      </c>
      <c r="Q526" s="300" t="s">
        <v>15855</v>
      </c>
      <c r="R526" s="182" t="str">
        <f ca="1">IF(ISERROR($V526),"",OFFSET('Smelter Look-up'!$C$4,$V526-4,0)&amp;"")</f>
        <v>Umicore Precious Metals Thailand</v>
      </c>
      <c r="S526" s="181" t="str">
        <f t="shared" ca="1" si="74"/>
        <v>TH</v>
      </c>
      <c r="T526" s="181" t="str">
        <f ca="1">IF(B526="","",IF(ISERROR(MATCH($J526,SorP!$B$1:$B$6226,0)),"",INDIRECT("'SorP'!$A$"&amp;MATCH($S526&amp;$J526,SorP!C:C,0))))</f>
        <v>TH-10</v>
      </c>
      <c r="U526" s="201"/>
      <c r="V526" s="226">
        <f>IF(C526="",NA(),IF(OR(C526="Smelter not listed",C526="Smelter not yet identified"),MATCH($B526&amp;$D526,'Smelter Look-up'!$J:$J,0),MATCH($B526&amp;$C526,'Smelter Look-up'!$J:$J,0)))</f>
        <v>302</v>
      </c>
      <c r="X526" s="227">
        <f t="shared" si="75"/>
        <v>0</v>
      </c>
      <c r="AB526" s="228" t="str">
        <f t="shared" si="76"/>
        <v>GoldUmicore Precious Metals Thailand</v>
      </c>
    </row>
    <row r="527" spans="1:28" s="227" customFormat="1" ht="67.5">
      <c r="A527" s="301" t="s">
        <v>144</v>
      </c>
      <c r="B527" s="293" t="s">
        <v>1119</v>
      </c>
      <c r="C527" s="294" t="s">
        <v>143</v>
      </c>
      <c r="D527" s="295" t="s">
        <v>143</v>
      </c>
      <c r="E527" s="293" t="s">
        <v>878</v>
      </c>
      <c r="F527" s="293" t="s">
        <v>144</v>
      </c>
      <c r="G527" s="293" t="s">
        <v>13217</v>
      </c>
      <c r="H527" s="296" t="s">
        <v>15855</v>
      </c>
      <c r="I527" s="297" t="s">
        <v>12385</v>
      </c>
      <c r="J527" s="297" t="s">
        <v>11033</v>
      </c>
      <c r="K527" s="298" t="s">
        <v>16298</v>
      </c>
      <c r="L527" s="298" t="s">
        <v>16299</v>
      </c>
      <c r="M527" s="298" t="s">
        <v>16300</v>
      </c>
      <c r="N527" s="298" t="s">
        <v>15862</v>
      </c>
      <c r="O527" s="298" t="s">
        <v>15863</v>
      </c>
      <c r="P527" s="299" t="s">
        <v>15857</v>
      </c>
      <c r="Q527" s="300" t="s">
        <v>15855</v>
      </c>
      <c r="R527" s="182" t="str">
        <f ca="1">IF(ISERROR($V527),"",OFFSET('Smelter Look-up'!$C$4,$V527-4,0)&amp;"")</f>
        <v>Umicore Precious Metals Thailand</v>
      </c>
      <c r="S527" s="181" t="str">
        <f t="shared" ca="1" si="74"/>
        <v>TH</v>
      </c>
      <c r="T527" s="181" t="str">
        <f ca="1">IF(B527="","",IF(ISERROR(MATCH($J527,SorP!$B$1:$B$6226,0)),"",INDIRECT("'SorP'!$A$"&amp;MATCH($S527&amp;$J527,SorP!C:C,0))))</f>
        <v>TH-10</v>
      </c>
      <c r="U527" s="201"/>
      <c r="V527" s="226">
        <f>IF(C527="",NA(),IF(OR(C527="Smelter not listed",C527="Smelter not yet identified"),MATCH($B527&amp;$D527,'Smelter Look-up'!$J:$J,0),MATCH($B527&amp;$C527,'Smelter Look-up'!$J:$J,0)))</f>
        <v>302</v>
      </c>
      <c r="X527" s="227">
        <f t="shared" si="75"/>
        <v>0</v>
      </c>
      <c r="AB527" s="228" t="str">
        <f t="shared" si="76"/>
        <v>GoldUmicore Precious Metals Thailand</v>
      </c>
    </row>
    <row r="528" spans="1:28" s="227" customFormat="1" ht="67.5">
      <c r="A528" s="301" t="s">
        <v>144</v>
      </c>
      <c r="B528" s="293" t="s">
        <v>1119</v>
      </c>
      <c r="C528" s="294" t="s">
        <v>143</v>
      </c>
      <c r="D528" s="295" t="s">
        <v>143</v>
      </c>
      <c r="E528" s="293" t="s">
        <v>878</v>
      </c>
      <c r="F528" s="293" t="s">
        <v>144</v>
      </c>
      <c r="G528" s="293" t="s">
        <v>13217</v>
      </c>
      <c r="H528" s="302" t="s">
        <v>15880</v>
      </c>
      <c r="I528" s="297" t="s">
        <v>12385</v>
      </c>
      <c r="J528" s="297" t="s">
        <v>11033</v>
      </c>
      <c r="K528" s="298" t="s">
        <v>15855</v>
      </c>
      <c r="L528" s="298" t="s">
        <v>15855</v>
      </c>
      <c r="M528" s="298" t="s">
        <v>15855</v>
      </c>
      <c r="N528" s="298" t="s">
        <v>15855</v>
      </c>
      <c r="O528" s="298" t="s">
        <v>15855</v>
      </c>
      <c r="P528" s="299" t="s">
        <v>15857</v>
      </c>
      <c r="Q528" s="300" t="s">
        <v>15855</v>
      </c>
      <c r="R528" s="182" t="str">
        <f ca="1">IF(ISERROR($V528),"",OFFSET('Smelter Look-up'!$C$4,$V528-4,0)&amp;"")</f>
        <v>Umicore Precious Metals Thailand</v>
      </c>
      <c r="S528" s="181" t="str">
        <f t="shared" ca="1" si="74"/>
        <v>TH</v>
      </c>
      <c r="T528" s="181" t="str">
        <f ca="1">IF(B528="","",IF(ISERROR(MATCH($J528,SorP!$B$1:$B$6226,0)),"",INDIRECT("'SorP'!$A$"&amp;MATCH($S528&amp;$J528,SorP!C:C,0))))</f>
        <v>TH-10</v>
      </c>
      <c r="U528" s="201"/>
      <c r="V528" s="226">
        <f>IF(C528="",NA(),IF(OR(C528="Smelter not listed",C528="Smelter not yet identified"),MATCH($B528&amp;$D528,'Smelter Look-up'!$J:$J,0),MATCH($B528&amp;$C528,'Smelter Look-up'!$J:$J,0)))</f>
        <v>302</v>
      </c>
      <c r="X528" s="227">
        <f t="shared" si="75"/>
        <v>0</v>
      </c>
      <c r="AB528" s="228" t="str">
        <f t="shared" si="76"/>
        <v>GoldUmicore Precious Metals Thailand</v>
      </c>
    </row>
    <row r="529" spans="1:28" s="227" customFormat="1" ht="94.5">
      <c r="A529" s="301" t="s">
        <v>732</v>
      </c>
      <c r="B529" s="293" t="s">
        <v>1119</v>
      </c>
      <c r="C529" s="294" t="s">
        <v>2314</v>
      </c>
      <c r="D529" s="295" t="s">
        <v>2314</v>
      </c>
      <c r="E529" s="293" t="s">
        <v>1085</v>
      </c>
      <c r="F529" s="293" t="s">
        <v>732</v>
      </c>
      <c r="G529" s="293" t="s">
        <v>13217</v>
      </c>
      <c r="H529" s="296" t="s">
        <v>15855</v>
      </c>
      <c r="I529" s="297" t="s">
        <v>1667</v>
      </c>
      <c r="J529" s="297" t="s">
        <v>3135</v>
      </c>
      <c r="K529" s="298" t="s">
        <v>15855</v>
      </c>
      <c r="L529" s="298" t="s">
        <v>15855</v>
      </c>
      <c r="M529" s="298" t="s">
        <v>15855</v>
      </c>
      <c r="N529" s="298" t="s">
        <v>15855</v>
      </c>
      <c r="O529" s="298" t="s">
        <v>15855</v>
      </c>
      <c r="P529" s="299" t="s">
        <v>15857</v>
      </c>
      <c r="Q529" s="300" t="s">
        <v>15855</v>
      </c>
      <c r="R529" s="182" t="str">
        <f ca="1">IF(ISERROR($V529),"",OFFSET('Smelter Look-up'!$C$4,$V529-4,0)&amp;"")</f>
        <v>Umicore S.A. Business Unit Precious Metals Refining</v>
      </c>
      <c r="S529" s="181" t="str">
        <f t="shared" ca="1" si="74"/>
        <v>BE</v>
      </c>
      <c r="T529" s="181" t="str">
        <f ca="1">IF(B529="","",IF(ISERROR(MATCH($J529,SorP!$B$1:$B$6226,0)),"",INDIRECT("'SorP'!$A$"&amp;MATCH($S529&amp;$J529,SorP!C:C,0))))</f>
        <v>BE-VAN</v>
      </c>
      <c r="U529" s="201"/>
      <c r="V529" s="226">
        <f>IF(C529="",NA(),IF(OR(C529="Smelter not listed",C529="Smelter not yet identified"),MATCH($B529&amp;$D529,'Smelter Look-up'!$J:$J,0),MATCH($B529&amp;$C529,'Smelter Look-up'!$J:$J,0)))</f>
        <v>303</v>
      </c>
      <c r="X529" s="227">
        <f t="shared" si="75"/>
        <v>0</v>
      </c>
      <c r="AB529" s="228" t="str">
        <f t="shared" si="76"/>
        <v>GoldUmicore S.A. Business Unit Precious Metals Refining</v>
      </c>
    </row>
    <row r="530" spans="1:28" s="227" customFormat="1" ht="94.5">
      <c r="A530" s="301" t="s">
        <v>732</v>
      </c>
      <c r="B530" s="293" t="s">
        <v>1119</v>
      </c>
      <c r="C530" s="294" t="s">
        <v>2314</v>
      </c>
      <c r="D530" s="295" t="s">
        <v>2314</v>
      </c>
      <c r="E530" s="293" t="s">
        <v>1085</v>
      </c>
      <c r="F530" s="293" t="s">
        <v>732</v>
      </c>
      <c r="G530" s="293" t="s">
        <v>13217</v>
      </c>
      <c r="H530" s="296" t="s">
        <v>15855</v>
      </c>
      <c r="I530" s="297" t="s">
        <v>1667</v>
      </c>
      <c r="J530" s="297" t="s">
        <v>3135</v>
      </c>
      <c r="K530" s="298" t="s">
        <v>15855</v>
      </c>
      <c r="L530" s="298" t="s">
        <v>15855</v>
      </c>
      <c r="M530" s="298" t="s">
        <v>15855</v>
      </c>
      <c r="N530" s="298" t="s">
        <v>15855</v>
      </c>
      <c r="O530" s="298" t="s">
        <v>15855</v>
      </c>
      <c r="P530" s="299" t="s">
        <v>15875</v>
      </c>
      <c r="Q530" s="300" t="s">
        <v>15855</v>
      </c>
      <c r="R530" s="182" t="str">
        <f ca="1">IF(ISERROR($V530),"",OFFSET('Smelter Look-up'!$C$4,$V530-4,0)&amp;"")</f>
        <v>Umicore S.A. Business Unit Precious Metals Refining</v>
      </c>
      <c r="S530" s="181" t="str">
        <f t="shared" ca="1" si="74"/>
        <v>BE</v>
      </c>
      <c r="T530" s="181" t="str">
        <f ca="1">IF(B530="","",IF(ISERROR(MATCH($J530,SorP!$B$1:$B$6226,0)),"",INDIRECT("'SorP'!$A$"&amp;MATCH($S530&amp;$J530,SorP!C:C,0))))</f>
        <v>BE-VAN</v>
      </c>
      <c r="U530" s="201"/>
      <c r="V530" s="226">
        <f>IF(C530="",NA(),IF(OR(C530="Smelter not listed",C530="Smelter not yet identified"),MATCH($B530&amp;$D530,'Smelter Look-up'!$J:$J,0),MATCH($B530&amp;$C530,'Smelter Look-up'!$J:$J,0)))</f>
        <v>303</v>
      </c>
      <c r="X530" s="227">
        <f t="shared" si="75"/>
        <v>0</v>
      </c>
      <c r="AB530" s="228" t="str">
        <f t="shared" si="76"/>
        <v>GoldUmicore S.A. Business Unit Precious Metals Refining</v>
      </c>
    </row>
    <row r="531" spans="1:28" s="227" customFormat="1" ht="94.5">
      <c r="A531" s="301" t="s">
        <v>732</v>
      </c>
      <c r="B531" s="293" t="s">
        <v>1119</v>
      </c>
      <c r="C531" s="294" t="s">
        <v>2314</v>
      </c>
      <c r="D531" s="295" t="s">
        <v>2314</v>
      </c>
      <c r="E531" s="293" t="s">
        <v>1085</v>
      </c>
      <c r="F531" s="293" t="s">
        <v>732</v>
      </c>
      <c r="G531" s="293" t="s">
        <v>13217</v>
      </c>
      <c r="H531" s="296" t="s">
        <v>15855</v>
      </c>
      <c r="I531" s="297" t="s">
        <v>1667</v>
      </c>
      <c r="J531" s="297" t="s">
        <v>3135</v>
      </c>
      <c r="K531" s="298" t="s">
        <v>15855</v>
      </c>
      <c r="L531" s="298" t="s">
        <v>15855</v>
      </c>
      <c r="M531" s="298" t="s">
        <v>15855</v>
      </c>
      <c r="N531" s="298" t="s">
        <v>15855</v>
      </c>
      <c r="O531" s="298" t="s">
        <v>15858</v>
      </c>
      <c r="P531" s="299" t="s">
        <v>15857</v>
      </c>
      <c r="Q531" s="300" t="s">
        <v>15855</v>
      </c>
      <c r="R531" s="182" t="str">
        <f ca="1">IF(ISERROR($V531),"",OFFSET('Smelter Look-up'!$C$4,$V531-4,0)&amp;"")</f>
        <v>Umicore S.A. Business Unit Precious Metals Refining</v>
      </c>
      <c r="S531" s="181" t="str">
        <f t="shared" ca="1" si="74"/>
        <v>BE</v>
      </c>
      <c r="T531" s="181" t="str">
        <f ca="1">IF(B531="","",IF(ISERROR(MATCH($J531,SorP!$B$1:$B$6226,0)),"",INDIRECT("'SorP'!$A$"&amp;MATCH($S531&amp;$J531,SorP!C:C,0))))</f>
        <v>BE-VAN</v>
      </c>
      <c r="U531" s="201"/>
      <c r="V531" s="226">
        <f>IF(C531="",NA(),IF(OR(C531="Smelter not listed",C531="Smelter not yet identified"),MATCH($B531&amp;$D531,'Smelter Look-up'!$J:$J,0),MATCH($B531&amp;$C531,'Smelter Look-up'!$J:$J,0)))</f>
        <v>303</v>
      </c>
      <c r="X531" s="227">
        <f t="shared" si="75"/>
        <v>0</v>
      </c>
      <c r="AB531" s="228" t="str">
        <f t="shared" si="76"/>
        <v>GoldUmicore S.A. Business Unit Precious Metals Refining</v>
      </c>
    </row>
    <row r="532" spans="1:28" s="227" customFormat="1" ht="94.5">
      <c r="A532" s="301" t="s">
        <v>732</v>
      </c>
      <c r="B532" s="293" t="s">
        <v>1119</v>
      </c>
      <c r="C532" s="294" t="s">
        <v>2314</v>
      </c>
      <c r="D532" s="295" t="s">
        <v>2314</v>
      </c>
      <c r="E532" s="293" t="s">
        <v>1085</v>
      </c>
      <c r="F532" s="293" t="s">
        <v>732</v>
      </c>
      <c r="G532" s="293" t="s">
        <v>13217</v>
      </c>
      <c r="H532" s="296" t="s">
        <v>15855</v>
      </c>
      <c r="I532" s="297" t="s">
        <v>1667</v>
      </c>
      <c r="J532" s="297" t="s">
        <v>3135</v>
      </c>
      <c r="K532" s="298" t="s">
        <v>16301</v>
      </c>
      <c r="L532" s="298" t="s">
        <v>16302</v>
      </c>
      <c r="M532" s="298" t="s">
        <v>16303</v>
      </c>
      <c r="N532" s="298" t="s">
        <v>15862</v>
      </c>
      <c r="O532" s="298" t="s">
        <v>15893</v>
      </c>
      <c r="P532" s="299" t="s">
        <v>15857</v>
      </c>
      <c r="Q532" s="300" t="s">
        <v>15855</v>
      </c>
      <c r="R532" s="182" t="str">
        <f ca="1">IF(ISERROR($V532),"",OFFSET('Smelter Look-up'!$C$4,$V532-4,0)&amp;"")</f>
        <v>Umicore S.A. Business Unit Precious Metals Refining</v>
      </c>
      <c r="S532" s="181" t="str">
        <f t="shared" ca="1" si="74"/>
        <v>BE</v>
      </c>
      <c r="T532" s="181" t="str">
        <f ca="1">IF(B532="","",IF(ISERROR(MATCH($J532,SorP!$B$1:$B$6226,0)),"",INDIRECT("'SorP'!$A$"&amp;MATCH($S532&amp;$J532,SorP!C:C,0))))</f>
        <v>BE-VAN</v>
      </c>
      <c r="U532" s="201"/>
      <c r="V532" s="226">
        <f>IF(C532="",NA(),IF(OR(C532="Smelter not listed",C532="Smelter not yet identified"),MATCH($B532&amp;$D532,'Smelter Look-up'!$J:$J,0),MATCH($B532&amp;$C532,'Smelter Look-up'!$J:$J,0)))</f>
        <v>303</v>
      </c>
      <c r="X532" s="227">
        <f t="shared" si="75"/>
        <v>0</v>
      </c>
      <c r="AB532" s="228" t="str">
        <f t="shared" si="76"/>
        <v>GoldUmicore S.A. Business Unit Precious Metals Refining</v>
      </c>
    </row>
    <row r="533" spans="1:28" s="227" customFormat="1" ht="94.5">
      <c r="A533" s="301" t="s">
        <v>732</v>
      </c>
      <c r="B533" s="293" t="s">
        <v>1119</v>
      </c>
      <c r="C533" s="294" t="s">
        <v>2314</v>
      </c>
      <c r="D533" s="295" t="s">
        <v>2314</v>
      </c>
      <c r="E533" s="293" t="s">
        <v>1085</v>
      </c>
      <c r="F533" s="293" t="s">
        <v>732</v>
      </c>
      <c r="G533" s="293" t="s">
        <v>13217</v>
      </c>
      <c r="H533" s="302" t="s">
        <v>15880</v>
      </c>
      <c r="I533" s="297" t="s">
        <v>1667</v>
      </c>
      <c r="J533" s="297" t="s">
        <v>3135</v>
      </c>
      <c r="K533" s="298" t="s">
        <v>15881</v>
      </c>
      <c r="L533" s="298" t="s">
        <v>15881</v>
      </c>
      <c r="M533" s="298" t="s">
        <v>12593</v>
      </c>
      <c r="N533" s="298" t="s">
        <v>15881</v>
      </c>
      <c r="O533" s="298" t="s">
        <v>15881</v>
      </c>
      <c r="P533" s="299" t="s">
        <v>15857</v>
      </c>
      <c r="Q533" s="300" t="s">
        <v>15855</v>
      </c>
      <c r="R533" s="182" t="str">
        <f ca="1">IF(ISERROR($V533),"",OFFSET('Smelter Look-up'!$C$4,$V533-4,0)&amp;"")</f>
        <v>Umicore S.A. Business Unit Precious Metals Refining</v>
      </c>
      <c r="S533" s="181" t="str">
        <f t="shared" ca="1" si="74"/>
        <v>BE</v>
      </c>
      <c r="T533" s="181" t="str">
        <f ca="1">IF(B533="","",IF(ISERROR(MATCH($J533,SorP!$B$1:$B$6226,0)),"",INDIRECT("'SorP'!$A$"&amp;MATCH($S533&amp;$J533,SorP!C:C,0))))</f>
        <v>BE-VAN</v>
      </c>
      <c r="U533" s="201"/>
      <c r="V533" s="226">
        <f>IF(C533="",NA(),IF(OR(C533="Smelter not listed",C533="Smelter not yet identified"),MATCH($B533&amp;$D533,'Smelter Look-up'!$J:$J,0),MATCH($B533&amp;$C533,'Smelter Look-up'!$J:$J,0)))</f>
        <v>303</v>
      </c>
      <c r="X533" s="227">
        <f t="shared" si="75"/>
        <v>0</v>
      </c>
      <c r="AB533" s="228" t="str">
        <f t="shared" si="76"/>
        <v>GoldUmicore S.A. Business Unit Precious Metals Refining</v>
      </c>
    </row>
    <row r="534" spans="1:28" s="227" customFormat="1" ht="81">
      <c r="A534" s="301" t="s">
        <v>733</v>
      </c>
      <c r="B534" s="293" t="s">
        <v>1119</v>
      </c>
      <c r="C534" s="294" t="s">
        <v>810</v>
      </c>
      <c r="D534" s="295" t="s">
        <v>810</v>
      </c>
      <c r="E534" s="293" t="s">
        <v>2415</v>
      </c>
      <c r="F534" s="293" t="s">
        <v>733</v>
      </c>
      <c r="G534" s="293" t="s">
        <v>13217</v>
      </c>
      <c r="H534" s="296" t="s">
        <v>15855</v>
      </c>
      <c r="I534" s="297" t="s">
        <v>1669</v>
      </c>
      <c r="J534" s="297" t="s">
        <v>1609</v>
      </c>
      <c r="K534" s="298" t="s">
        <v>15855</v>
      </c>
      <c r="L534" s="298" t="s">
        <v>15855</v>
      </c>
      <c r="M534" s="298" t="s">
        <v>15855</v>
      </c>
      <c r="N534" s="298" t="s">
        <v>15855</v>
      </c>
      <c r="O534" s="298" t="s">
        <v>15855</v>
      </c>
      <c r="P534" s="299" t="s">
        <v>15857</v>
      </c>
      <c r="Q534" s="300" t="s">
        <v>15855</v>
      </c>
      <c r="R534" s="182" t="str">
        <f ca="1">IF(ISERROR($V534),"",OFFSET('Smelter Look-up'!$C$4,$V534-4,0)&amp;"")</f>
        <v>United Precious Metal Refining, Inc.</v>
      </c>
      <c r="S534" s="181" t="str">
        <f t="shared" ca="1" si="74"/>
        <v>US</v>
      </c>
      <c r="T534" s="181" t="str">
        <f ca="1">IF(B534="","",IF(ISERROR(MATCH($J534,SorP!$B$1:$B$6226,0)),"",INDIRECT("'SorP'!$A$"&amp;MATCH($S534&amp;$J534,SorP!C:C,0))))</f>
        <v>US-NY</v>
      </c>
      <c r="U534" s="201"/>
      <c r="V534" s="226">
        <f>IF(C534="",NA(),IF(OR(C534="Smelter not listed",C534="Smelter not yet identified"),MATCH($B534&amp;$D534,'Smelter Look-up'!$J:$J,0),MATCH($B534&amp;$C534,'Smelter Look-up'!$J:$J,0)))</f>
        <v>304</v>
      </c>
      <c r="X534" s="227">
        <f t="shared" si="75"/>
        <v>0</v>
      </c>
      <c r="AB534" s="228" t="str">
        <f t="shared" si="76"/>
        <v>GoldUnited Precious Metal Refining, Inc.</v>
      </c>
    </row>
    <row r="535" spans="1:28" s="227" customFormat="1" ht="81">
      <c r="A535" s="301" t="s">
        <v>733</v>
      </c>
      <c r="B535" s="293" t="s">
        <v>1119</v>
      </c>
      <c r="C535" s="294" t="s">
        <v>810</v>
      </c>
      <c r="D535" s="295" t="s">
        <v>810</v>
      </c>
      <c r="E535" s="293" t="s">
        <v>2415</v>
      </c>
      <c r="F535" s="293" t="s">
        <v>733</v>
      </c>
      <c r="G535" s="293" t="s">
        <v>13217</v>
      </c>
      <c r="H535" s="296" t="s">
        <v>15855</v>
      </c>
      <c r="I535" s="297" t="s">
        <v>1669</v>
      </c>
      <c r="J535" s="297" t="s">
        <v>1609</v>
      </c>
      <c r="K535" s="298" t="s">
        <v>15855</v>
      </c>
      <c r="L535" s="298" t="s">
        <v>15855</v>
      </c>
      <c r="M535" s="298" t="s">
        <v>15855</v>
      </c>
      <c r="N535" s="298" t="s">
        <v>15855</v>
      </c>
      <c r="O535" s="298" t="s">
        <v>15925</v>
      </c>
      <c r="P535" s="299" t="s">
        <v>15857</v>
      </c>
      <c r="Q535" s="300" t="s">
        <v>15855</v>
      </c>
      <c r="R535" s="182" t="str">
        <f ca="1">IF(ISERROR($V535),"",OFFSET('Smelter Look-up'!$C$4,$V535-4,0)&amp;"")</f>
        <v>United Precious Metal Refining, Inc.</v>
      </c>
      <c r="S535" s="181" t="str">
        <f t="shared" ca="1" si="74"/>
        <v>US</v>
      </c>
      <c r="T535" s="181" t="str">
        <f ca="1">IF(B535="","",IF(ISERROR(MATCH($J535,SorP!$B$1:$B$6226,0)),"",INDIRECT("'SorP'!$A$"&amp;MATCH($S535&amp;$J535,SorP!C:C,0))))</f>
        <v>US-NY</v>
      </c>
      <c r="U535" s="201"/>
      <c r="V535" s="226">
        <f>IF(C535="",NA(),IF(OR(C535="Smelter not listed",C535="Smelter not yet identified"),MATCH($B535&amp;$D535,'Smelter Look-up'!$J:$J,0),MATCH($B535&amp;$C535,'Smelter Look-up'!$J:$J,0)))</f>
        <v>304</v>
      </c>
      <c r="X535" s="227">
        <f t="shared" si="75"/>
        <v>0</v>
      </c>
      <c r="AB535" s="228" t="str">
        <f t="shared" si="76"/>
        <v>GoldUnited Precious Metal Refining, Inc.</v>
      </c>
    </row>
    <row r="536" spans="1:28" s="227" customFormat="1" ht="81">
      <c r="A536" s="301" t="s">
        <v>733</v>
      </c>
      <c r="B536" s="293" t="s">
        <v>1119</v>
      </c>
      <c r="C536" s="294" t="s">
        <v>810</v>
      </c>
      <c r="D536" s="295" t="s">
        <v>810</v>
      </c>
      <c r="E536" s="293" t="s">
        <v>2415</v>
      </c>
      <c r="F536" s="293" t="s">
        <v>733</v>
      </c>
      <c r="G536" s="293" t="s">
        <v>13217</v>
      </c>
      <c r="H536" s="296" t="s">
        <v>15855</v>
      </c>
      <c r="I536" s="297" t="s">
        <v>1669</v>
      </c>
      <c r="J536" s="297" t="s">
        <v>1609</v>
      </c>
      <c r="K536" s="298" t="s">
        <v>16304</v>
      </c>
      <c r="L536" s="298" t="s">
        <v>16305</v>
      </c>
      <c r="M536" s="298" t="s">
        <v>15869</v>
      </c>
      <c r="N536" s="298" t="s">
        <v>15870</v>
      </c>
      <c r="O536" s="298" t="s">
        <v>15871</v>
      </c>
      <c r="P536" s="299" t="s">
        <v>15857</v>
      </c>
      <c r="Q536" s="300" t="s">
        <v>15855</v>
      </c>
      <c r="R536" s="182" t="str">
        <f ca="1">IF(ISERROR($V536),"",OFFSET('Smelter Look-up'!$C$4,$V536-4,0)&amp;"")</f>
        <v>United Precious Metal Refining, Inc.</v>
      </c>
      <c r="S536" s="181" t="str">
        <f t="shared" ca="1" si="74"/>
        <v>US</v>
      </c>
      <c r="T536" s="181" t="str">
        <f ca="1">IF(B536="","",IF(ISERROR(MATCH($J536,SorP!$B$1:$B$6226,0)),"",INDIRECT("'SorP'!$A$"&amp;MATCH($S536&amp;$J536,SorP!C:C,0))))</f>
        <v>US-NY</v>
      </c>
      <c r="U536" s="201"/>
      <c r="V536" s="226">
        <f>IF(C536="",NA(),IF(OR(C536="Smelter not listed",C536="Smelter not yet identified"),MATCH($B536&amp;$D536,'Smelter Look-up'!$J:$J,0),MATCH($B536&amp;$C536,'Smelter Look-up'!$J:$J,0)))</f>
        <v>304</v>
      </c>
      <c r="X536" s="227">
        <f t="shared" si="75"/>
        <v>0</v>
      </c>
      <c r="AB536" s="228" t="str">
        <f t="shared" si="76"/>
        <v>GoldUnited Precious Metal Refining, Inc.</v>
      </c>
    </row>
    <row r="537" spans="1:28" s="227" customFormat="1" ht="40.5">
      <c r="A537" s="301" t="s">
        <v>734</v>
      </c>
      <c r="B537" s="293" t="s">
        <v>1119</v>
      </c>
      <c r="C537" s="294" t="s">
        <v>2316</v>
      </c>
      <c r="D537" s="295" t="s">
        <v>2316</v>
      </c>
      <c r="E537" s="293" t="s">
        <v>1088</v>
      </c>
      <c r="F537" s="293" t="s">
        <v>734</v>
      </c>
      <c r="G537" s="293" t="s">
        <v>13217</v>
      </c>
      <c r="H537" s="296" t="s">
        <v>15855</v>
      </c>
      <c r="I537" s="297" t="s">
        <v>1670</v>
      </c>
      <c r="J537" s="297" t="s">
        <v>1542</v>
      </c>
      <c r="K537" s="298" t="s">
        <v>15855</v>
      </c>
      <c r="L537" s="298" t="s">
        <v>15855</v>
      </c>
      <c r="M537" s="298" t="s">
        <v>15855</v>
      </c>
      <c r="N537" s="298" t="s">
        <v>15855</v>
      </c>
      <c r="O537" s="298" t="s">
        <v>15855</v>
      </c>
      <c r="P537" s="299" t="s">
        <v>15857</v>
      </c>
      <c r="Q537" s="300" t="s">
        <v>15855</v>
      </c>
      <c r="R537" s="182" t="str">
        <f ca="1">IF(ISERROR($V537),"",OFFSET('Smelter Look-up'!$C$4,$V537-4,0)&amp;"")</f>
        <v>Valcambi S.A.</v>
      </c>
      <c r="S537" s="181" t="str">
        <f t="shared" ca="1" si="74"/>
        <v>CH</v>
      </c>
      <c r="T537" s="181" t="str">
        <f ca="1">IF(B537="","",IF(ISERROR(MATCH($J537,SorP!$B$1:$B$6226,0)),"",INDIRECT("'SorP'!$A$"&amp;MATCH($S537&amp;$J537,SorP!C:C,0))))</f>
        <v>CH-TI</v>
      </c>
      <c r="U537" s="201"/>
      <c r="V537" s="226">
        <f>IF(C537="",NA(),IF(OR(C537="Smelter not listed",C537="Smelter not yet identified"),MATCH($B537&amp;$D537,'Smelter Look-up'!$J:$J,0),MATCH($B537&amp;$C537,'Smelter Look-up'!$J:$J,0)))</f>
        <v>305</v>
      </c>
      <c r="X537" s="227">
        <f t="shared" si="75"/>
        <v>0</v>
      </c>
      <c r="AB537" s="228" t="str">
        <f t="shared" si="76"/>
        <v>GoldValcambi S.A.</v>
      </c>
    </row>
    <row r="538" spans="1:28" s="227" customFormat="1" ht="40.5">
      <c r="A538" s="301" t="s">
        <v>734</v>
      </c>
      <c r="B538" s="293" t="s">
        <v>1119</v>
      </c>
      <c r="C538" s="294" t="s">
        <v>2316</v>
      </c>
      <c r="D538" s="295" t="s">
        <v>2316</v>
      </c>
      <c r="E538" s="293" t="s">
        <v>1088</v>
      </c>
      <c r="F538" s="293" t="s">
        <v>734</v>
      </c>
      <c r="G538" s="293" t="s">
        <v>13217</v>
      </c>
      <c r="H538" s="296" t="s">
        <v>15855</v>
      </c>
      <c r="I538" s="297" t="s">
        <v>1670</v>
      </c>
      <c r="J538" s="297" t="s">
        <v>1542</v>
      </c>
      <c r="K538" s="298" t="s">
        <v>15855</v>
      </c>
      <c r="L538" s="298" t="s">
        <v>15855</v>
      </c>
      <c r="M538" s="298" t="s">
        <v>15855</v>
      </c>
      <c r="N538" s="298" t="s">
        <v>15855</v>
      </c>
      <c r="O538" s="298" t="s">
        <v>1088</v>
      </c>
      <c r="P538" s="299" t="s">
        <v>15857</v>
      </c>
      <c r="Q538" s="300" t="s">
        <v>15855</v>
      </c>
      <c r="R538" s="182" t="str">
        <f ca="1">IF(ISERROR($V538),"",OFFSET('Smelter Look-up'!$C$4,$V538-4,0)&amp;"")</f>
        <v>Valcambi S.A.</v>
      </c>
      <c r="S538" s="181" t="str">
        <f t="shared" ca="1" si="74"/>
        <v>CH</v>
      </c>
      <c r="T538" s="181" t="str">
        <f ca="1">IF(B538="","",IF(ISERROR(MATCH($J538,SorP!$B$1:$B$6226,0)),"",INDIRECT("'SorP'!$A$"&amp;MATCH($S538&amp;$J538,SorP!C:C,0))))</f>
        <v>CH-TI</v>
      </c>
      <c r="U538" s="201"/>
      <c r="V538" s="226">
        <f>IF(C538="",NA(),IF(OR(C538="Smelter not listed",C538="Smelter not yet identified"),MATCH($B538&amp;$D538,'Smelter Look-up'!$J:$J,0),MATCH($B538&amp;$C538,'Smelter Look-up'!$J:$J,0)))</f>
        <v>305</v>
      </c>
      <c r="X538" s="227">
        <f t="shared" si="75"/>
        <v>0</v>
      </c>
      <c r="AB538" s="228" t="str">
        <f t="shared" si="76"/>
        <v>GoldValcambi S.A.</v>
      </c>
    </row>
    <row r="539" spans="1:28" s="227" customFormat="1" ht="40.5">
      <c r="A539" s="301" t="s">
        <v>734</v>
      </c>
      <c r="B539" s="293" t="s">
        <v>1119</v>
      </c>
      <c r="C539" s="294" t="s">
        <v>2316</v>
      </c>
      <c r="D539" s="295" t="s">
        <v>2316</v>
      </c>
      <c r="E539" s="293" t="s">
        <v>1088</v>
      </c>
      <c r="F539" s="293" t="s">
        <v>734</v>
      </c>
      <c r="G539" s="293" t="s">
        <v>13217</v>
      </c>
      <c r="H539" s="296" t="s">
        <v>15855</v>
      </c>
      <c r="I539" s="297" t="s">
        <v>1670</v>
      </c>
      <c r="J539" s="297" t="s">
        <v>1542</v>
      </c>
      <c r="K539" s="298" t="s">
        <v>15855</v>
      </c>
      <c r="L539" s="298" t="s">
        <v>16306</v>
      </c>
      <c r="M539" s="298" t="s">
        <v>12593</v>
      </c>
      <c r="N539" s="298" t="s">
        <v>16307</v>
      </c>
      <c r="O539" s="298" t="s">
        <v>1088</v>
      </c>
      <c r="P539" s="299" t="s">
        <v>15857</v>
      </c>
      <c r="Q539" s="300" t="s">
        <v>15855</v>
      </c>
      <c r="R539" s="182" t="str">
        <f ca="1">IF(ISERROR($V539),"",OFFSET('Smelter Look-up'!$C$4,$V539-4,0)&amp;"")</f>
        <v>Valcambi S.A.</v>
      </c>
      <c r="S539" s="181" t="str">
        <f t="shared" ca="1" si="74"/>
        <v>CH</v>
      </c>
      <c r="T539" s="181" t="str">
        <f ca="1">IF(B539="","",IF(ISERROR(MATCH($J539,SorP!$B$1:$B$6226,0)),"",INDIRECT("'SorP'!$A$"&amp;MATCH($S539&amp;$J539,SorP!C:C,0))))</f>
        <v>CH-TI</v>
      </c>
      <c r="U539" s="201"/>
      <c r="V539" s="226">
        <f>IF(C539="",NA(),IF(OR(C539="Smelter not listed",C539="Smelter not yet identified"),MATCH($B539&amp;$D539,'Smelter Look-up'!$J:$J,0),MATCH($B539&amp;$C539,'Smelter Look-up'!$J:$J,0)))</f>
        <v>305</v>
      </c>
      <c r="X539" s="227">
        <f t="shared" si="75"/>
        <v>0</v>
      </c>
      <c r="AB539" s="228" t="str">
        <f t="shared" si="76"/>
        <v>GoldValcambi S.A.</v>
      </c>
    </row>
    <row r="540" spans="1:28" s="227" customFormat="1" ht="40.5">
      <c r="A540" s="301" t="s">
        <v>734</v>
      </c>
      <c r="B540" s="293" t="s">
        <v>1119</v>
      </c>
      <c r="C540" s="294" t="s">
        <v>2316</v>
      </c>
      <c r="D540" s="295" t="s">
        <v>2316</v>
      </c>
      <c r="E540" s="293" t="s">
        <v>1088</v>
      </c>
      <c r="F540" s="293" t="s">
        <v>734</v>
      </c>
      <c r="G540" s="293" t="s">
        <v>13217</v>
      </c>
      <c r="H540" s="296" t="s">
        <v>15855</v>
      </c>
      <c r="I540" s="297" t="s">
        <v>1670</v>
      </c>
      <c r="J540" s="297" t="s">
        <v>1542</v>
      </c>
      <c r="K540" s="298" t="s">
        <v>16308</v>
      </c>
      <c r="L540" s="298" t="s">
        <v>16309</v>
      </c>
      <c r="M540" s="298" t="s">
        <v>16310</v>
      </c>
      <c r="N540" s="298" t="s">
        <v>15862</v>
      </c>
      <c r="O540" s="298" t="s">
        <v>15901</v>
      </c>
      <c r="P540" s="299" t="s">
        <v>15857</v>
      </c>
      <c r="Q540" s="300" t="s">
        <v>15855</v>
      </c>
      <c r="R540" s="182" t="str">
        <f ca="1">IF(ISERROR($V540),"",OFFSET('Smelter Look-up'!$C$4,$V540-4,0)&amp;"")</f>
        <v>Valcambi S.A.</v>
      </c>
      <c r="S540" s="181" t="str">
        <f t="shared" ca="1" si="74"/>
        <v>CH</v>
      </c>
      <c r="T540" s="181" t="str">
        <f ca="1">IF(B540="","",IF(ISERROR(MATCH($J540,SorP!$B$1:$B$6226,0)),"",INDIRECT("'SorP'!$A$"&amp;MATCH($S540&amp;$J540,SorP!C:C,0))))</f>
        <v>CH-TI</v>
      </c>
      <c r="U540" s="201"/>
      <c r="V540" s="226">
        <f>IF(C540="",NA(),IF(OR(C540="Smelter not listed",C540="Smelter not yet identified"),MATCH($B540&amp;$D540,'Smelter Look-up'!$J:$J,0),MATCH($B540&amp;$C540,'Smelter Look-up'!$J:$J,0)))</f>
        <v>305</v>
      </c>
      <c r="X540" s="227">
        <f t="shared" si="75"/>
        <v>0</v>
      </c>
      <c r="AB540" s="228" t="str">
        <f t="shared" si="76"/>
        <v>GoldValcambi S.A.</v>
      </c>
    </row>
    <row r="541" spans="1:28" s="227" customFormat="1" ht="40.5">
      <c r="A541" s="301" t="s">
        <v>734</v>
      </c>
      <c r="B541" s="293" t="s">
        <v>1119</v>
      </c>
      <c r="C541" s="294" t="s">
        <v>2316</v>
      </c>
      <c r="D541" s="295" t="s">
        <v>2316</v>
      </c>
      <c r="E541" s="293" t="s">
        <v>1088</v>
      </c>
      <c r="F541" s="293" t="s">
        <v>734</v>
      </c>
      <c r="G541" s="293" t="s">
        <v>13217</v>
      </c>
      <c r="H541" s="302" t="s">
        <v>15880</v>
      </c>
      <c r="I541" s="297" t="s">
        <v>1670</v>
      </c>
      <c r="J541" s="297" t="s">
        <v>1542</v>
      </c>
      <c r="K541" s="298" t="s">
        <v>15855</v>
      </c>
      <c r="L541" s="298" t="s">
        <v>15855</v>
      </c>
      <c r="M541" s="298" t="s">
        <v>15855</v>
      </c>
      <c r="N541" s="298" t="s">
        <v>15855</v>
      </c>
      <c r="O541" s="298" t="s">
        <v>15855</v>
      </c>
      <c r="P541" s="299" t="s">
        <v>15857</v>
      </c>
      <c r="Q541" s="300" t="s">
        <v>15855</v>
      </c>
      <c r="R541" s="182" t="str">
        <f ca="1">IF(ISERROR($V541),"",OFFSET('Smelter Look-up'!$C$4,$V541-4,0)&amp;"")</f>
        <v>Valcambi S.A.</v>
      </c>
      <c r="S541" s="181" t="str">
        <f t="shared" ca="1" si="74"/>
        <v>CH</v>
      </c>
      <c r="T541" s="181" t="str">
        <f ca="1">IF(B541="","",IF(ISERROR(MATCH($J541,SorP!$B$1:$B$6226,0)),"",INDIRECT("'SorP'!$A$"&amp;MATCH($S541&amp;$J541,SorP!C:C,0))))</f>
        <v>CH-TI</v>
      </c>
      <c r="U541" s="201"/>
      <c r="V541" s="226">
        <f>IF(C541="",NA(),IF(OR(C541="Smelter not listed",C541="Smelter not yet identified"),MATCH($B541&amp;$D541,'Smelter Look-up'!$J:$J,0),MATCH($B541&amp;$C541,'Smelter Look-up'!$J:$J,0)))</f>
        <v>305</v>
      </c>
      <c r="X541" s="227">
        <f t="shared" si="75"/>
        <v>0</v>
      </c>
      <c r="AB541" s="228" t="str">
        <f t="shared" si="76"/>
        <v>GoldValcambi S.A.</v>
      </c>
    </row>
    <row r="542" spans="1:28" s="227" customFormat="1" ht="40.5">
      <c r="A542" s="301" t="s">
        <v>15046</v>
      </c>
      <c r="B542" s="293" t="s">
        <v>1119</v>
      </c>
      <c r="C542" s="294" t="s">
        <v>15045</v>
      </c>
      <c r="D542" s="295" t="s">
        <v>15045</v>
      </c>
      <c r="E542" s="293" t="s">
        <v>1094</v>
      </c>
      <c r="F542" s="293" t="s">
        <v>15046</v>
      </c>
      <c r="G542" s="293" t="s">
        <v>13217</v>
      </c>
      <c r="H542" s="296" t="s">
        <v>15855</v>
      </c>
      <c r="I542" s="297" t="s">
        <v>15426</v>
      </c>
      <c r="J542" s="297" t="s">
        <v>12816</v>
      </c>
      <c r="K542" s="298" t="s">
        <v>15855</v>
      </c>
      <c r="L542" s="298" t="s">
        <v>15855</v>
      </c>
      <c r="M542" s="298" t="s">
        <v>15855</v>
      </c>
      <c r="N542" s="298" t="s">
        <v>15855</v>
      </c>
      <c r="O542" s="298" t="s">
        <v>15858</v>
      </c>
      <c r="P542" s="299" t="s">
        <v>15857</v>
      </c>
      <c r="Q542" s="300" t="s">
        <v>15855</v>
      </c>
      <c r="R542" s="182" t="str">
        <f ca="1">IF(ISERROR($V542),"",OFFSET('Smelter Look-up'!$C$4,$V542-4,0)&amp;"")</f>
        <v>WEEEREFINING</v>
      </c>
      <c r="S542" s="181" t="str">
        <f t="shared" ca="1" si="74"/>
        <v>FR</v>
      </c>
      <c r="T542" s="181" t="str">
        <f ca="1">IF(B542="","",IF(ISERROR(MATCH($J542,SorP!$B$1:$B$6226,0)),"",INDIRECT("'SorP'!$A$"&amp;MATCH($S542&amp;$J542,SorP!C:C,0))))</f>
        <v>FR-NOR</v>
      </c>
      <c r="U542" s="201"/>
      <c r="V542" s="226">
        <f>IF(C542="",NA(),IF(OR(C542="Smelter not listed",C542="Smelter not yet identified"),MATCH($B542&amp;$D542,'Smelter Look-up'!$J:$J,0),MATCH($B542&amp;$C542,'Smelter Look-up'!$J:$J,0)))</f>
        <v>306</v>
      </c>
      <c r="X542" s="227">
        <f t="shared" si="75"/>
        <v>0</v>
      </c>
      <c r="AB542" s="228" t="str">
        <f t="shared" si="76"/>
        <v>GoldWEEEREFINING</v>
      </c>
    </row>
    <row r="543" spans="1:28" s="227" customFormat="1" ht="67.5">
      <c r="A543" s="301" t="s">
        <v>735</v>
      </c>
      <c r="B543" s="293" t="s">
        <v>1119</v>
      </c>
      <c r="C543" s="294" t="s">
        <v>2470</v>
      </c>
      <c r="D543" s="295" t="s">
        <v>2471</v>
      </c>
      <c r="E543" s="293" t="s">
        <v>1083</v>
      </c>
      <c r="F543" s="293" t="s">
        <v>735</v>
      </c>
      <c r="G543" s="293" t="s">
        <v>15865</v>
      </c>
      <c r="H543" s="296" t="s">
        <v>15855</v>
      </c>
      <c r="I543" s="297" t="s">
        <v>1671</v>
      </c>
      <c r="J543" s="297" t="s">
        <v>1672</v>
      </c>
      <c r="K543" s="298" t="s">
        <v>15855</v>
      </c>
      <c r="L543" s="298" t="s">
        <v>15855</v>
      </c>
      <c r="M543" s="298" t="s">
        <v>15855</v>
      </c>
      <c r="N543" s="298" t="s">
        <v>15855</v>
      </c>
      <c r="O543" s="298" t="s">
        <v>15855</v>
      </c>
      <c r="P543" s="299" t="s">
        <v>15857</v>
      </c>
      <c r="Q543" s="300" t="s">
        <v>15855</v>
      </c>
      <c r="R543" s="182" t="str">
        <f ca="1">IF(ISERROR($V543),"",OFFSET('Smelter Look-up'!$C$4,$V543-4,0)&amp;"")</f>
        <v>Western Australian Mint (T/a The Perth Mint)</v>
      </c>
      <c r="S543" s="181" t="str">
        <f t="shared" ca="1" si="74"/>
        <v>AU</v>
      </c>
      <c r="T543" s="181" t="str">
        <f ca="1">IF(B543="","",IF(ISERROR(MATCH($J543,SorP!$B$1:$B$6226,0)),"",INDIRECT("'SorP'!$A$"&amp;MATCH($S543&amp;$J543,SorP!C:C,0))))</f>
        <v>AU-WA</v>
      </c>
      <c r="U543" s="201"/>
      <c r="V543" s="226">
        <f>IF(C543="",NA(),IF(OR(C543="Smelter not listed",C543="Smelter not yet identified"),MATCH($B543&amp;$D543,'Smelter Look-up'!$J:$J,0),MATCH($B543&amp;$C543,'Smelter Look-up'!$J:$J,0)))</f>
        <v>11</v>
      </c>
      <c r="X543" s="227">
        <f t="shared" si="75"/>
        <v>0</v>
      </c>
      <c r="AB543" s="228" t="str">
        <f t="shared" si="76"/>
        <v>GoldAGR (Perth Mint Australia)</v>
      </c>
    </row>
    <row r="544" spans="1:28" s="227" customFormat="1" ht="40.5">
      <c r="A544" s="301" t="s">
        <v>15855</v>
      </c>
      <c r="B544" s="293" t="s">
        <v>1119</v>
      </c>
      <c r="C544" s="294" t="s">
        <v>932</v>
      </c>
      <c r="D544" s="295" t="s">
        <v>2471</v>
      </c>
      <c r="E544" s="293" t="s">
        <v>1083</v>
      </c>
      <c r="F544" s="293" t="s">
        <v>15855</v>
      </c>
      <c r="G544" s="293" t="s">
        <v>15855</v>
      </c>
      <c r="H544" s="296" t="s">
        <v>15855</v>
      </c>
      <c r="I544" s="297" t="s">
        <v>15855</v>
      </c>
      <c r="J544" s="297" t="s">
        <v>15855</v>
      </c>
      <c r="K544" s="298" t="s">
        <v>15855</v>
      </c>
      <c r="L544" s="298" t="s">
        <v>15855</v>
      </c>
      <c r="M544" s="298" t="s">
        <v>15855</v>
      </c>
      <c r="N544" s="298" t="s">
        <v>15855</v>
      </c>
      <c r="O544" s="298" t="s">
        <v>15855</v>
      </c>
      <c r="P544" s="299" t="s">
        <v>15857</v>
      </c>
      <c r="Q544" s="300" t="s">
        <v>15855</v>
      </c>
      <c r="R544" s="182" t="str">
        <f ca="1">IF(ISERROR($V544),"",OFFSET('Smelter Look-up'!$C$4,$V544-4,0)&amp;"")</f>
        <v>Western Australian Mint (T/a The Perth Mint)</v>
      </c>
      <c r="S544" s="181" t="str">
        <f t="shared" ca="1" si="74"/>
        <v>AU</v>
      </c>
      <c r="T544" s="181" t="str">
        <f ca="1">IF(B544="","",IF(ISERROR(MATCH($J544,SorP!$B$1:$B$6226,0)),"",INDIRECT("'SorP'!$A$"&amp;MATCH($S544&amp;$J544,SorP!C:C,0))))</f>
        <v/>
      </c>
      <c r="U544" s="201"/>
      <c r="V544" s="226">
        <f>IF(C544="",NA(),IF(OR(C544="Smelter not listed",C544="Smelter not yet identified"),MATCH($B544&amp;$D544,'Smelter Look-up'!$J:$J,0),MATCH($B544&amp;$C544,'Smelter Look-up'!$J:$J,0)))</f>
        <v>307</v>
      </c>
      <c r="X544" s="227">
        <f t="shared" si="75"/>
        <v>0</v>
      </c>
      <c r="AB544" s="228" t="str">
        <f t="shared" si="76"/>
        <v>GoldSmelter Not Listed</v>
      </c>
    </row>
    <row r="545" spans="1:28" s="227" customFormat="1" ht="94.5">
      <c r="A545" s="301" t="s">
        <v>735</v>
      </c>
      <c r="B545" s="293" t="s">
        <v>1119</v>
      </c>
      <c r="C545" s="294" t="s">
        <v>2471</v>
      </c>
      <c r="D545" s="295" t="s">
        <v>2471</v>
      </c>
      <c r="E545" s="293" t="s">
        <v>1083</v>
      </c>
      <c r="F545" s="293" t="s">
        <v>735</v>
      </c>
      <c r="G545" s="293" t="s">
        <v>15864</v>
      </c>
      <c r="H545" s="302" t="s">
        <v>15880</v>
      </c>
      <c r="I545" s="297" t="s">
        <v>1671</v>
      </c>
      <c r="J545" s="297" t="s">
        <v>1672</v>
      </c>
      <c r="K545" s="298" t="s">
        <v>15855</v>
      </c>
      <c r="L545" s="298" t="s">
        <v>15855</v>
      </c>
      <c r="M545" s="298" t="s">
        <v>15855</v>
      </c>
      <c r="N545" s="298" t="s">
        <v>15896</v>
      </c>
      <c r="O545" s="298" t="s">
        <v>15896</v>
      </c>
      <c r="P545" s="299" t="s">
        <v>15857</v>
      </c>
      <c r="Q545" s="300" t="s">
        <v>15855</v>
      </c>
      <c r="R545" s="182" t="str">
        <f ca="1">IF(ISERROR($V545),"",OFFSET('Smelter Look-up'!$C$4,$V545-4,0)&amp;"")</f>
        <v>Western Australian Mint (T/a The Perth Mint)</v>
      </c>
      <c r="S545" s="181" t="str">
        <f t="shared" ca="1" si="74"/>
        <v>AU</v>
      </c>
      <c r="T545" s="181" t="str">
        <f ca="1">IF(B545="","",IF(ISERROR(MATCH($J545,SorP!$B$1:$B$6226,0)),"",INDIRECT("'SorP'!$A$"&amp;MATCH($S545&amp;$J545,SorP!C:C,0))))</f>
        <v>AU-WA</v>
      </c>
      <c r="U545" s="201"/>
      <c r="V545" s="226">
        <f>IF(C545="",NA(),IF(OR(C545="Smelter not listed",C545="Smelter not yet identified"),MATCH($B545&amp;$D545,'Smelter Look-up'!$J:$J,0),MATCH($B545&amp;$C545,'Smelter Look-up'!$J:$J,0)))</f>
        <v>307</v>
      </c>
      <c r="X545" s="227">
        <f t="shared" si="75"/>
        <v>0</v>
      </c>
      <c r="AB545" s="228" t="str">
        <f t="shared" si="76"/>
        <v>GoldWestern Australian Mint (T/a The Perth Mint)</v>
      </c>
    </row>
    <row r="546" spans="1:28" s="227" customFormat="1" ht="94.5">
      <c r="A546" s="301" t="s">
        <v>735</v>
      </c>
      <c r="B546" s="293" t="s">
        <v>1119</v>
      </c>
      <c r="C546" s="294" t="s">
        <v>2471</v>
      </c>
      <c r="D546" s="295" t="s">
        <v>2471</v>
      </c>
      <c r="E546" s="293" t="s">
        <v>1083</v>
      </c>
      <c r="F546" s="293" t="s">
        <v>735</v>
      </c>
      <c r="G546" s="293" t="s">
        <v>15865</v>
      </c>
      <c r="H546" s="296" t="s">
        <v>15855</v>
      </c>
      <c r="I546" s="297" t="s">
        <v>1671</v>
      </c>
      <c r="J546" s="297" t="s">
        <v>1672</v>
      </c>
      <c r="K546" s="298" t="s">
        <v>15855</v>
      </c>
      <c r="L546" s="298" t="s">
        <v>15855</v>
      </c>
      <c r="M546" s="298" t="s">
        <v>15855</v>
      </c>
      <c r="N546" s="298" t="s">
        <v>15855</v>
      </c>
      <c r="O546" s="298" t="s">
        <v>15855</v>
      </c>
      <c r="P546" s="299" t="s">
        <v>15857</v>
      </c>
      <c r="Q546" s="300" t="s">
        <v>15855</v>
      </c>
      <c r="R546" s="182" t="str">
        <f ca="1">IF(ISERROR($V546),"",OFFSET('Smelter Look-up'!$C$4,$V546-4,0)&amp;"")</f>
        <v>Western Australian Mint (T/a The Perth Mint)</v>
      </c>
      <c r="S546" s="181" t="str">
        <f t="shared" ca="1" si="74"/>
        <v>AU</v>
      </c>
      <c r="T546" s="181" t="str">
        <f ca="1">IF(B546="","",IF(ISERROR(MATCH($J546,SorP!$B$1:$B$6226,0)),"",INDIRECT("'SorP'!$A$"&amp;MATCH($S546&amp;$J546,SorP!C:C,0))))</f>
        <v>AU-WA</v>
      </c>
      <c r="U546" s="201"/>
      <c r="V546" s="226">
        <f>IF(C546="",NA(),IF(OR(C546="Smelter not listed",C546="Smelter not yet identified"),MATCH($B546&amp;$D546,'Smelter Look-up'!$J:$J,0),MATCH($B546&amp;$C546,'Smelter Look-up'!$J:$J,0)))</f>
        <v>307</v>
      </c>
      <c r="X546" s="227">
        <f t="shared" si="75"/>
        <v>0</v>
      </c>
      <c r="AB546" s="228" t="str">
        <f t="shared" si="76"/>
        <v>GoldWestern Australian Mint (T/a The Perth Mint)</v>
      </c>
    </row>
    <row r="547" spans="1:28" s="227" customFormat="1" ht="94.5">
      <c r="A547" s="301" t="s">
        <v>735</v>
      </c>
      <c r="B547" s="293" t="s">
        <v>1119</v>
      </c>
      <c r="C547" s="294" t="s">
        <v>2471</v>
      </c>
      <c r="D547" s="295" t="s">
        <v>2471</v>
      </c>
      <c r="E547" s="293" t="s">
        <v>1083</v>
      </c>
      <c r="F547" s="293" t="s">
        <v>735</v>
      </c>
      <c r="G547" s="293" t="s">
        <v>13217</v>
      </c>
      <c r="H547" s="296" t="s">
        <v>15855</v>
      </c>
      <c r="I547" s="297" t="s">
        <v>1671</v>
      </c>
      <c r="J547" s="297" t="s">
        <v>1672</v>
      </c>
      <c r="K547" s="298" t="s">
        <v>15855</v>
      </c>
      <c r="L547" s="298" t="s">
        <v>15855</v>
      </c>
      <c r="M547" s="298" t="s">
        <v>15855</v>
      </c>
      <c r="N547" s="298" t="s">
        <v>15855</v>
      </c>
      <c r="O547" s="298" t="s">
        <v>15855</v>
      </c>
      <c r="P547" s="299" t="s">
        <v>15857</v>
      </c>
      <c r="Q547" s="300" t="s">
        <v>15855</v>
      </c>
      <c r="R547" s="182" t="str">
        <f ca="1">IF(ISERROR($V547),"",OFFSET('Smelter Look-up'!$C$4,$V547-4,0)&amp;"")</f>
        <v>Western Australian Mint (T/a The Perth Mint)</v>
      </c>
      <c r="S547" s="181" t="str">
        <f t="shared" ca="1" si="74"/>
        <v>AU</v>
      </c>
      <c r="T547" s="181" t="str">
        <f ca="1">IF(B547="","",IF(ISERROR(MATCH($J547,SorP!$B$1:$B$6226,0)),"",INDIRECT("'SorP'!$A$"&amp;MATCH($S547&amp;$J547,SorP!C:C,0))))</f>
        <v>AU-WA</v>
      </c>
      <c r="U547" s="201"/>
      <c r="V547" s="226">
        <f>IF(C547="",NA(),IF(OR(C547="Smelter not listed",C547="Smelter not yet identified"),MATCH($B547&amp;$D547,'Smelter Look-up'!$J:$J,0),MATCH($B547&amp;$C547,'Smelter Look-up'!$J:$J,0)))</f>
        <v>307</v>
      </c>
      <c r="X547" s="227">
        <f t="shared" si="75"/>
        <v>0</v>
      </c>
      <c r="AB547" s="228" t="str">
        <f t="shared" si="76"/>
        <v>GoldWestern Australian Mint (T/a The Perth Mint)</v>
      </c>
    </row>
    <row r="548" spans="1:28" s="227" customFormat="1" ht="94.5">
      <c r="A548" s="301" t="s">
        <v>735</v>
      </c>
      <c r="B548" s="293" t="s">
        <v>1119</v>
      </c>
      <c r="C548" s="294" t="s">
        <v>2471</v>
      </c>
      <c r="D548" s="295" t="s">
        <v>2471</v>
      </c>
      <c r="E548" s="293" t="s">
        <v>1083</v>
      </c>
      <c r="F548" s="293" t="s">
        <v>735</v>
      </c>
      <c r="G548" s="293" t="s">
        <v>13217</v>
      </c>
      <c r="H548" s="296" t="s">
        <v>15855</v>
      </c>
      <c r="I548" s="297" t="s">
        <v>1671</v>
      </c>
      <c r="J548" s="297" t="s">
        <v>1672</v>
      </c>
      <c r="K548" s="298" t="s">
        <v>15855</v>
      </c>
      <c r="L548" s="298" t="s">
        <v>15855</v>
      </c>
      <c r="M548" s="298" t="s">
        <v>15855</v>
      </c>
      <c r="N548" s="298" t="s">
        <v>15855</v>
      </c>
      <c r="O548" s="298" t="s">
        <v>15855</v>
      </c>
      <c r="P548" s="299" t="s">
        <v>15875</v>
      </c>
      <c r="Q548" s="300" t="s">
        <v>15855</v>
      </c>
      <c r="R548" s="182" t="str">
        <f ca="1">IF(ISERROR($V548),"",OFFSET('Smelter Look-up'!$C$4,$V548-4,0)&amp;"")</f>
        <v>Western Australian Mint (T/a The Perth Mint)</v>
      </c>
      <c r="S548" s="181" t="str">
        <f t="shared" ca="1" si="74"/>
        <v>AU</v>
      </c>
      <c r="T548" s="181" t="str">
        <f ca="1">IF(B548="","",IF(ISERROR(MATCH($J548,SorP!$B$1:$B$6226,0)),"",INDIRECT("'SorP'!$A$"&amp;MATCH($S548&amp;$J548,SorP!C:C,0))))</f>
        <v>AU-WA</v>
      </c>
      <c r="U548" s="201"/>
      <c r="V548" s="226">
        <f>IF(C548="",NA(),IF(OR(C548="Smelter not listed",C548="Smelter not yet identified"),MATCH($B548&amp;$D548,'Smelter Look-up'!$J:$J,0),MATCH($B548&amp;$C548,'Smelter Look-up'!$J:$J,0)))</f>
        <v>307</v>
      </c>
      <c r="X548" s="227">
        <f t="shared" si="75"/>
        <v>0</v>
      </c>
      <c r="AB548" s="228" t="str">
        <f t="shared" si="76"/>
        <v>GoldWestern Australian Mint (T/a The Perth Mint)</v>
      </c>
    </row>
    <row r="549" spans="1:28" s="227" customFormat="1" ht="94.5">
      <c r="A549" s="301" t="s">
        <v>735</v>
      </c>
      <c r="B549" s="293" t="s">
        <v>1119</v>
      </c>
      <c r="C549" s="294" t="s">
        <v>2471</v>
      </c>
      <c r="D549" s="295" t="s">
        <v>2471</v>
      </c>
      <c r="E549" s="293" t="s">
        <v>1083</v>
      </c>
      <c r="F549" s="293" t="s">
        <v>735</v>
      </c>
      <c r="G549" s="293" t="s">
        <v>13217</v>
      </c>
      <c r="H549" s="296" t="s">
        <v>15855</v>
      </c>
      <c r="I549" s="297" t="s">
        <v>1671</v>
      </c>
      <c r="J549" s="297" t="s">
        <v>1672</v>
      </c>
      <c r="K549" s="298" t="s">
        <v>15855</v>
      </c>
      <c r="L549" s="298" t="s">
        <v>15855</v>
      </c>
      <c r="M549" s="298" t="s">
        <v>15855</v>
      </c>
      <c r="N549" s="298" t="s">
        <v>15855</v>
      </c>
      <c r="O549" s="298" t="s">
        <v>16311</v>
      </c>
      <c r="P549" s="299" t="s">
        <v>15857</v>
      </c>
      <c r="Q549" s="300" t="s">
        <v>15855</v>
      </c>
      <c r="R549" s="182" t="str">
        <f ca="1">IF(ISERROR($V549),"",OFFSET('Smelter Look-up'!$C$4,$V549-4,0)&amp;"")</f>
        <v>Western Australian Mint (T/a The Perth Mint)</v>
      </c>
      <c r="S549" s="181" t="str">
        <f t="shared" ca="1" si="74"/>
        <v>AU</v>
      </c>
      <c r="T549" s="181" t="str">
        <f ca="1">IF(B549="","",IF(ISERROR(MATCH($J549,SorP!$B$1:$B$6226,0)),"",INDIRECT("'SorP'!$A$"&amp;MATCH($S549&amp;$J549,SorP!C:C,0))))</f>
        <v>AU-WA</v>
      </c>
      <c r="U549" s="201"/>
      <c r="V549" s="226">
        <f>IF(C549="",NA(),IF(OR(C549="Smelter not listed",C549="Smelter not yet identified"),MATCH($B549&amp;$D549,'Smelter Look-up'!$J:$J,0),MATCH($B549&amp;$C549,'Smelter Look-up'!$J:$J,0)))</f>
        <v>307</v>
      </c>
      <c r="X549" s="227">
        <f t="shared" si="75"/>
        <v>0</v>
      </c>
      <c r="AB549" s="228" t="str">
        <f t="shared" si="76"/>
        <v>GoldWestern Australian Mint (T/a The Perth Mint)</v>
      </c>
    </row>
    <row r="550" spans="1:28" s="227" customFormat="1" ht="94.5">
      <c r="A550" s="301" t="s">
        <v>735</v>
      </c>
      <c r="B550" s="293" t="s">
        <v>1119</v>
      </c>
      <c r="C550" s="294" t="s">
        <v>2471</v>
      </c>
      <c r="D550" s="295" t="s">
        <v>2471</v>
      </c>
      <c r="E550" s="293" t="s">
        <v>1083</v>
      </c>
      <c r="F550" s="293" t="s">
        <v>735</v>
      </c>
      <c r="G550" s="293" t="s">
        <v>13217</v>
      </c>
      <c r="H550" s="296" t="s">
        <v>15855</v>
      </c>
      <c r="I550" s="297" t="s">
        <v>1671</v>
      </c>
      <c r="J550" s="297" t="s">
        <v>1672</v>
      </c>
      <c r="K550" s="298" t="s">
        <v>15855</v>
      </c>
      <c r="L550" s="298" t="s">
        <v>16312</v>
      </c>
      <c r="M550" s="298" t="s">
        <v>12593</v>
      </c>
      <c r="N550" s="298" t="s">
        <v>1010</v>
      </c>
      <c r="O550" s="298" t="s">
        <v>1672</v>
      </c>
      <c r="P550" s="299" t="s">
        <v>15857</v>
      </c>
      <c r="Q550" s="300" t="s">
        <v>15855</v>
      </c>
      <c r="R550" s="182" t="str">
        <f ca="1">IF(ISERROR($V550),"",OFFSET('Smelter Look-up'!$C$4,$V550-4,0)&amp;"")</f>
        <v>Western Australian Mint (T/a The Perth Mint)</v>
      </c>
      <c r="S550" s="181" t="str">
        <f t="shared" ref="S550:S580" ca="1" si="77">IF(B550="","",IF(ISERROR(MATCH($E550,CL,0)),"Unknown",INDIRECT("'C'!$A$"&amp;MATCH($E550,CL,0)+1)))</f>
        <v>AU</v>
      </c>
      <c r="T550" s="181" t="str">
        <f ca="1">IF(B550="","",IF(ISERROR(MATCH($J550,SorP!$B$1:$B$6226,0)),"",INDIRECT("'SorP'!$A$"&amp;MATCH($S550&amp;$J550,SorP!C:C,0))))</f>
        <v>AU-WA</v>
      </c>
      <c r="U550" s="201"/>
      <c r="V550" s="226">
        <f>IF(C550="",NA(),IF(OR(C550="Smelter not listed",C550="Smelter not yet identified"),MATCH($B550&amp;$D550,'Smelter Look-up'!$J:$J,0),MATCH($B550&amp;$C550,'Smelter Look-up'!$J:$J,0)))</f>
        <v>307</v>
      </c>
      <c r="X550" s="227">
        <f t="shared" ref="X550:X580" si="78">IF(AND(C550="Smelter not listed",OR(LEN(D550)=0,LEN(E550)=0)),1,0)</f>
        <v>0</v>
      </c>
      <c r="AB550" s="228" t="str">
        <f t="shared" ref="AB550:AB580" si="79">B550&amp;C550</f>
        <v>GoldWestern Australian Mint (T/a The Perth Mint)</v>
      </c>
    </row>
    <row r="551" spans="1:28" s="227" customFormat="1" ht="94.5">
      <c r="A551" s="301" t="s">
        <v>735</v>
      </c>
      <c r="B551" s="293" t="s">
        <v>1119</v>
      </c>
      <c r="C551" s="294" t="s">
        <v>2471</v>
      </c>
      <c r="D551" s="295" t="s">
        <v>2471</v>
      </c>
      <c r="E551" s="293" t="s">
        <v>1083</v>
      </c>
      <c r="F551" s="293" t="s">
        <v>735</v>
      </c>
      <c r="G551" s="293" t="s">
        <v>13217</v>
      </c>
      <c r="H551" s="296" t="s">
        <v>15855</v>
      </c>
      <c r="I551" s="297" t="s">
        <v>1671</v>
      </c>
      <c r="J551" s="297" t="s">
        <v>1672</v>
      </c>
      <c r="K551" s="298" t="s">
        <v>16313</v>
      </c>
      <c r="L551" s="298" t="s">
        <v>16314</v>
      </c>
      <c r="M551" s="298" t="s">
        <v>15892</v>
      </c>
      <c r="N551" s="298" t="s">
        <v>16315</v>
      </c>
      <c r="O551" s="298" t="s">
        <v>16316</v>
      </c>
      <c r="P551" s="299" t="s">
        <v>15857</v>
      </c>
      <c r="Q551" s="300" t="s">
        <v>15855</v>
      </c>
      <c r="R551" s="182" t="str">
        <f ca="1">IF(ISERROR($V551),"",OFFSET('Smelter Look-up'!$C$4,$V551-4,0)&amp;"")</f>
        <v>Western Australian Mint (T/a The Perth Mint)</v>
      </c>
      <c r="S551" s="181" t="str">
        <f t="shared" ca="1" si="77"/>
        <v>AU</v>
      </c>
      <c r="T551" s="181" t="str">
        <f ca="1">IF(B551="","",IF(ISERROR(MATCH($J551,SorP!$B$1:$B$6226,0)),"",INDIRECT("'SorP'!$A$"&amp;MATCH($S551&amp;$J551,SorP!C:C,0))))</f>
        <v>AU-WA</v>
      </c>
      <c r="U551" s="201"/>
      <c r="V551" s="226">
        <f>IF(C551="",NA(),IF(OR(C551="Smelter not listed",C551="Smelter not yet identified"),MATCH($B551&amp;$D551,'Smelter Look-up'!$J:$J,0),MATCH($B551&amp;$C551,'Smelter Look-up'!$J:$J,0)))</f>
        <v>307</v>
      </c>
      <c r="X551" s="227">
        <f t="shared" si="78"/>
        <v>0</v>
      </c>
      <c r="AB551" s="228" t="str">
        <f t="shared" si="79"/>
        <v>GoldWestern Australian Mint (T/a The Perth Mint)</v>
      </c>
    </row>
    <row r="552" spans="1:28" s="227" customFormat="1" ht="94.5">
      <c r="A552" s="301" t="s">
        <v>735</v>
      </c>
      <c r="B552" s="293" t="s">
        <v>1119</v>
      </c>
      <c r="C552" s="294" t="s">
        <v>2471</v>
      </c>
      <c r="D552" s="295" t="s">
        <v>2471</v>
      </c>
      <c r="E552" s="293" t="s">
        <v>1083</v>
      </c>
      <c r="F552" s="293" t="s">
        <v>735</v>
      </c>
      <c r="G552" s="293" t="s">
        <v>13217</v>
      </c>
      <c r="H552" s="302" t="s">
        <v>15880</v>
      </c>
      <c r="I552" s="297" t="s">
        <v>1671</v>
      </c>
      <c r="J552" s="297" t="s">
        <v>1672</v>
      </c>
      <c r="K552" s="298" t="s">
        <v>15855</v>
      </c>
      <c r="L552" s="298" t="s">
        <v>15855</v>
      </c>
      <c r="M552" s="298" t="s">
        <v>15855</v>
      </c>
      <c r="N552" s="298" t="s">
        <v>15855</v>
      </c>
      <c r="O552" s="298" t="s">
        <v>15855</v>
      </c>
      <c r="P552" s="299" t="s">
        <v>15857</v>
      </c>
      <c r="Q552" s="300" t="s">
        <v>15855</v>
      </c>
      <c r="R552" s="182" t="str">
        <f ca="1">IF(ISERROR($V552),"",OFFSET('Smelter Look-up'!$C$4,$V552-4,0)&amp;"")</f>
        <v>Western Australian Mint (T/a The Perth Mint)</v>
      </c>
      <c r="S552" s="181" t="str">
        <f t="shared" ca="1" si="77"/>
        <v>AU</v>
      </c>
      <c r="T552" s="181" t="str">
        <f ca="1">IF(B552="","",IF(ISERROR(MATCH($J552,SorP!$B$1:$B$6226,0)),"",INDIRECT("'SorP'!$A$"&amp;MATCH($S552&amp;$J552,SorP!C:C,0))))</f>
        <v>AU-WA</v>
      </c>
      <c r="U552" s="201"/>
      <c r="V552" s="226">
        <f>IF(C552="",NA(),IF(OR(C552="Smelter not listed",C552="Smelter not yet identified"),MATCH($B552&amp;$D552,'Smelter Look-up'!$J:$J,0),MATCH($B552&amp;$C552,'Smelter Look-up'!$J:$J,0)))</f>
        <v>307</v>
      </c>
      <c r="X552" s="227">
        <f t="shared" si="78"/>
        <v>0</v>
      </c>
      <c r="AB552" s="228" t="str">
        <f t="shared" si="79"/>
        <v>GoldWestern Australian Mint (T/a The Perth Mint)</v>
      </c>
    </row>
    <row r="553" spans="1:28" s="227" customFormat="1" ht="94.5">
      <c r="A553" s="301" t="s">
        <v>735</v>
      </c>
      <c r="B553" s="293" t="s">
        <v>1119</v>
      </c>
      <c r="C553" s="294" t="s">
        <v>2471</v>
      </c>
      <c r="D553" s="295" t="s">
        <v>2471</v>
      </c>
      <c r="E553" s="293" t="s">
        <v>1083</v>
      </c>
      <c r="F553" s="293" t="s">
        <v>735</v>
      </c>
      <c r="G553" s="293" t="s">
        <v>13217</v>
      </c>
      <c r="H553" s="296" t="s">
        <v>16317</v>
      </c>
      <c r="I553" s="297" t="s">
        <v>1671</v>
      </c>
      <c r="J553" s="297" t="s">
        <v>1672</v>
      </c>
      <c r="K553" s="298" t="s">
        <v>16318</v>
      </c>
      <c r="L553" s="298" t="s">
        <v>16319</v>
      </c>
      <c r="M553" s="298" t="s">
        <v>15855</v>
      </c>
      <c r="N553" s="298" t="s">
        <v>16320</v>
      </c>
      <c r="O553" s="298" t="s">
        <v>16311</v>
      </c>
      <c r="P553" s="299" t="s">
        <v>15857</v>
      </c>
      <c r="Q553" s="300" t="s">
        <v>15923</v>
      </c>
      <c r="R553" s="182" t="str">
        <f ca="1">IF(ISERROR($V553),"",OFFSET('Smelter Look-up'!$C$4,$V553-4,0)&amp;"")</f>
        <v>Western Australian Mint (T/a The Perth Mint)</v>
      </c>
      <c r="S553" s="181" t="str">
        <f t="shared" ca="1" si="77"/>
        <v>AU</v>
      </c>
      <c r="T553" s="181" t="str">
        <f ca="1">IF(B553="","",IF(ISERROR(MATCH($J553,SorP!$B$1:$B$6226,0)),"",INDIRECT("'SorP'!$A$"&amp;MATCH($S553&amp;$J553,SorP!C:C,0))))</f>
        <v>AU-WA</v>
      </c>
      <c r="U553" s="201"/>
      <c r="V553" s="226">
        <f>IF(C553="",NA(),IF(OR(C553="Smelter not listed",C553="Smelter not yet identified"),MATCH($B553&amp;$D553,'Smelter Look-up'!$J:$J,0),MATCH($B553&amp;$C553,'Smelter Look-up'!$J:$J,0)))</f>
        <v>307</v>
      </c>
      <c r="X553" s="227">
        <f t="shared" si="78"/>
        <v>0</v>
      </c>
      <c r="AB553" s="228" t="str">
        <f t="shared" si="79"/>
        <v>GoldWestern Australian Mint (T/a The Perth Mint)</v>
      </c>
    </row>
    <row r="554" spans="1:28" s="227" customFormat="1" ht="94.5">
      <c r="A554" s="301" t="s">
        <v>735</v>
      </c>
      <c r="B554" s="293" t="s">
        <v>1119</v>
      </c>
      <c r="C554" s="294" t="s">
        <v>2471</v>
      </c>
      <c r="D554" s="295" t="s">
        <v>2471</v>
      </c>
      <c r="E554" s="293" t="s">
        <v>1083</v>
      </c>
      <c r="F554" s="293" t="s">
        <v>735</v>
      </c>
      <c r="G554" s="293" t="s">
        <v>13217</v>
      </c>
      <c r="H554" s="296" t="s">
        <v>16317</v>
      </c>
      <c r="I554" s="297" t="s">
        <v>1671</v>
      </c>
      <c r="J554" s="297" t="s">
        <v>1672</v>
      </c>
      <c r="K554" s="298" t="s">
        <v>16318</v>
      </c>
      <c r="L554" s="298" t="s">
        <v>16319</v>
      </c>
      <c r="M554" s="298" t="s">
        <v>12593</v>
      </c>
      <c r="N554" s="298" t="s">
        <v>16320</v>
      </c>
      <c r="O554" s="298" t="s">
        <v>16311</v>
      </c>
      <c r="P554" s="299" t="s">
        <v>15857</v>
      </c>
      <c r="Q554" s="300" t="s">
        <v>16321</v>
      </c>
      <c r="R554" s="182" t="str">
        <f ca="1">IF(ISERROR($V554),"",OFFSET('Smelter Look-up'!$C$4,$V554-4,0)&amp;"")</f>
        <v>Western Australian Mint (T/a The Perth Mint)</v>
      </c>
      <c r="S554" s="181" t="str">
        <f t="shared" ca="1" si="77"/>
        <v>AU</v>
      </c>
      <c r="T554" s="181" t="str">
        <f ca="1">IF(B554="","",IF(ISERROR(MATCH($J554,SorP!$B$1:$B$6226,0)),"",INDIRECT("'SorP'!$A$"&amp;MATCH($S554&amp;$J554,SorP!C:C,0))))</f>
        <v>AU-WA</v>
      </c>
      <c r="U554" s="201"/>
      <c r="V554" s="226">
        <f>IF(C554="",NA(),IF(OR(C554="Smelter not listed",C554="Smelter not yet identified"),MATCH($B554&amp;$D554,'Smelter Look-up'!$J:$J,0),MATCH($B554&amp;$C554,'Smelter Look-up'!$J:$J,0)))</f>
        <v>307</v>
      </c>
      <c r="X554" s="227">
        <f t="shared" si="78"/>
        <v>0</v>
      </c>
      <c r="AB554" s="228" t="str">
        <f t="shared" si="79"/>
        <v>GoldWestern Australian Mint (T/a The Perth Mint)</v>
      </c>
    </row>
    <row r="555" spans="1:28" s="227" customFormat="1" ht="67.5">
      <c r="A555" s="301" t="s">
        <v>2188</v>
      </c>
      <c r="B555" s="293" t="s">
        <v>1119</v>
      </c>
      <c r="C555" s="294" t="s">
        <v>2186</v>
      </c>
      <c r="D555" s="295" t="s">
        <v>2186</v>
      </c>
      <c r="E555" s="293" t="s">
        <v>1091</v>
      </c>
      <c r="F555" s="293" t="s">
        <v>2188</v>
      </c>
      <c r="G555" s="293" t="s">
        <v>13217</v>
      </c>
      <c r="H555" s="296" t="s">
        <v>15855</v>
      </c>
      <c r="I555" s="297" t="s">
        <v>1535</v>
      </c>
      <c r="J555" s="297" t="s">
        <v>1536</v>
      </c>
      <c r="K555" s="298" t="s">
        <v>15855</v>
      </c>
      <c r="L555" s="298" t="s">
        <v>15855</v>
      </c>
      <c r="M555" s="298" t="s">
        <v>15855</v>
      </c>
      <c r="N555" s="298" t="s">
        <v>15855</v>
      </c>
      <c r="O555" s="298" t="s">
        <v>15855</v>
      </c>
      <c r="P555" s="299" t="s">
        <v>15857</v>
      </c>
      <c r="Q555" s="300" t="s">
        <v>15855</v>
      </c>
      <c r="R555" s="182" t="str">
        <f ca="1">IF(ISERROR($V555),"",OFFSET('Smelter Look-up'!$C$4,$V555-4,0)&amp;"")</f>
        <v>WIELAND Edelmetalle GmbH</v>
      </c>
      <c r="S555" s="181" t="str">
        <f t="shared" ca="1" si="77"/>
        <v>DE</v>
      </c>
      <c r="T555" s="181" t="str">
        <f ca="1">IF(B555="","",IF(ISERROR(MATCH($J555,SorP!$B$1:$B$6226,0)),"",INDIRECT("'SorP'!$A$"&amp;MATCH($S555&amp;$J555,SorP!C:C,0))))</f>
        <v>DE-BW</v>
      </c>
      <c r="U555" s="201"/>
      <c r="V555" s="226">
        <f>IF(C555="",NA(),IF(OR(C555="Smelter not listed",C555="Smelter not yet identified"),MATCH($B555&amp;$D555,'Smelter Look-up'!$J:$J,0),MATCH($B555&amp;$C555,'Smelter Look-up'!$J:$J,0)))</f>
        <v>308</v>
      </c>
      <c r="X555" s="227">
        <f t="shared" si="78"/>
        <v>0</v>
      </c>
      <c r="AB555" s="228" t="str">
        <f t="shared" si="79"/>
        <v>GoldWIELAND Edelmetalle GmbH</v>
      </c>
    </row>
    <row r="556" spans="1:28" s="227" customFormat="1" ht="67.5">
      <c r="A556" s="301" t="s">
        <v>2188</v>
      </c>
      <c r="B556" s="293" t="s">
        <v>1119</v>
      </c>
      <c r="C556" s="294" t="s">
        <v>2186</v>
      </c>
      <c r="D556" s="295" t="s">
        <v>2186</v>
      </c>
      <c r="E556" s="293" t="s">
        <v>1091</v>
      </c>
      <c r="F556" s="293" t="s">
        <v>2188</v>
      </c>
      <c r="G556" s="293" t="s">
        <v>13217</v>
      </c>
      <c r="H556" s="296" t="s">
        <v>15855</v>
      </c>
      <c r="I556" s="297" t="s">
        <v>1535</v>
      </c>
      <c r="J556" s="297" t="s">
        <v>1536</v>
      </c>
      <c r="K556" s="298" t="s">
        <v>15855</v>
      </c>
      <c r="L556" s="298" t="s">
        <v>15855</v>
      </c>
      <c r="M556" s="298" t="s">
        <v>15855</v>
      </c>
      <c r="N556" s="298" t="s">
        <v>15855</v>
      </c>
      <c r="O556" s="298" t="s">
        <v>16322</v>
      </c>
      <c r="P556" s="299" t="s">
        <v>15857</v>
      </c>
      <c r="Q556" s="300" t="s">
        <v>15855</v>
      </c>
      <c r="R556" s="182" t="str">
        <f ca="1">IF(ISERROR($V556),"",OFFSET('Smelter Look-up'!$C$4,$V556-4,0)&amp;"")</f>
        <v>WIELAND Edelmetalle GmbH</v>
      </c>
      <c r="S556" s="181" t="str">
        <f t="shared" ca="1" si="77"/>
        <v>DE</v>
      </c>
      <c r="T556" s="181" t="str">
        <f ca="1">IF(B556="","",IF(ISERROR(MATCH($J556,SorP!$B$1:$B$6226,0)),"",INDIRECT("'SorP'!$A$"&amp;MATCH($S556&amp;$J556,SorP!C:C,0))))</f>
        <v>DE-BW</v>
      </c>
      <c r="U556" s="201"/>
      <c r="V556" s="226">
        <f>IF(C556="",NA(),IF(OR(C556="Smelter not listed",C556="Smelter not yet identified"),MATCH($B556&amp;$D556,'Smelter Look-up'!$J:$J,0),MATCH($B556&amp;$C556,'Smelter Look-up'!$J:$J,0)))</f>
        <v>308</v>
      </c>
      <c r="X556" s="227">
        <f t="shared" si="78"/>
        <v>0</v>
      </c>
      <c r="AB556" s="228" t="str">
        <f t="shared" si="79"/>
        <v>GoldWIELAND Edelmetalle GmbH</v>
      </c>
    </row>
    <row r="557" spans="1:28" s="227" customFormat="1" ht="67.5">
      <c r="A557" s="301" t="s">
        <v>2188</v>
      </c>
      <c r="B557" s="293" t="s">
        <v>1119</v>
      </c>
      <c r="C557" s="294" t="s">
        <v>2186</v>
      </c>
      <c r="D557" s="295" t="s">
        <v>2186</v>
      </c>
      <c r="E557" s="293" t="s">
        <v>1091</v>
      </c>
      <c r="F557" s="293" t="s">
        <v>2188</v>
      </c>
      <c r="G557" s="293" t="s">
        <v>13217</v>
      </c>
      <c r="H557" s="296" t="s">
        <v>15855</v>
      </c>
      <c r="I557" s="297" t="s">
        <v>1535</v>
      </c>
      <c r="J557" s="297" t="s">
        <v>1536</v>
      </c>
      <c r="K557" s="298" t="s">
        <v>16323</v>
      </c>
      <c r="L557" s="298" t="s">
        <v>16324</v>
      </c>
      <c r="M557" s="298" t="s">
        <v>16325</v>
      </c>
      <c r="N557" s="298" t="s">
        <v>15862</v>
      </c>
      <c r="O557" s="298" t="s">
        <v>15863</v>
      </c>
      <c r="P557" s="299" t="s">
        <v>15857</v>
      </c>
      <c r="Q557" s="300" t="s">
        <v>15855</v>
      </c>
      <c r="R557" s="182" t="str">
        <f ca="1">IF(ISERROR($V557),"",OFFSET('Smelter Look-up'!$C$4,$V557-4,0)&amp;"")</f>
        <v>WIELAND Edelmetalle GmbH</v>
      </c>
      <c r="S557" s="181" t="str">
        <f t="shared" ca="1" si="77"/>
        <v>DE</v>
      </c>
      <c r="T557" s="181" t="str">
        <f ca="1">IF(B557="","",IF(ISERROR(MATCH($J557,SorP!$B$1:$B$6226,0)),"",INDIRECT("'SorP'!$A$"&amp;MATCH($S557&amp;$J557,SorP!C:C,0))))</f>
        <v>DE-BW</v>
      </c>
      <c r="U557" s="201"/>
      <c r="V557" s="226">
        <f>IF(C557="",NA(),IF(OR(C557="Smelter not listed",C557="Smelter not yet identified"),MATCH($B557&amp;$D557,'Smelter Look-up'!$J:$J,0),MATCH($B557&amp;$C557,'Smelter Look-up'!$J:$J,0)))</f>
        <v>308</v>
      </c>
      <c r="X557" s="227">
        <f t="shared" si="78"/>
        <v>0</v>
      </c>
      <c r="AB557" s="228" t="str">
        <f t="shared" si="79"/>
        <v>GoldWIELAND Edelmetalle GmbH</v>
      </c>
    </row>
    <row r="558" spans="1:28" s="227" customFormat="1" ht="40.5">
      <c r="A558" s="301" t="s">
        <v>736</v>
      </c>
      <c r="B558" s="293" t="s">
        <v>1119</v>
      </c>
      <c r="C558" s="294" t="s">
        <v>12904</v>
      </c>
      <c r="D558" s="295" t="s">
        <v>12904</v>
      </c>
      <c r="E558" s="293" t="s">
        <v>1098</v>
      </c>
      <c r="F558" s="293" t="s">
        <v>736</v>
      </c>
      <c r="G558" s="293" t="s">
        <v>13217</v>
      </c>
      <c r="H558" s="296" t="s">
        <v>15855</v>
      </c>
      <c r="I558" s="297" t="s">
        <v>12918</v>
      </c>
      <c r="J558" s="297" t="s">
        <v>6605</v>
      </c>
      <c r="K558" s="298" t="s">
        <v>15855</v>
      </c>
      <c r="L558" s="298" t="s">
        <v>15855</v>
      </c>
      <c r="M558" s="298" t="s">
        <v>15855</v>
      </c>
      <c r="N558" s="298" t="s">
        <v>15855</v>
      </c>
      <c r="O558" s="298" t="s">
        <v>15855</v>
      </c>
      <c r="P558" s="299" t="s">
        <v>15857</v>
      </c>
      <c r="Q558" s="300" t="s">
        <v>15855</v>
      </c>
      <c r="R558" s="182" t="str">
        <f ca="1">IF(ISERROR($V558),"",OFFSET('Smelter Look-up'!$C$4,$V558-4,0)&amp;"")</f>
        <v>Yamakin Co., Ltd.</v>
      </c>
      <c r="S558" s="181" t="str">
        <f t="shared" ca="1" si="77"/>
        <v>JP</v>
      </c>
      <c r="T558" s="181" t="str">
        <f ca="1">IF(B558="","",IF(ISERROR(MATCH($J558,SorP!$B$1:$B$6226,0)),"",INDIRECT("'SorP'!$A$"&amp;MATCH($S558&amp;$J558,SorP!C:C,0))))</f>
        <v>JP-39</v>
      </c>
      <c r="U558" s="201"/>
      <c r="V558" s="226">
        <f>IF(C558="",NA(),IF(OR(C558="Smelter not listed",C558="Smelter not yet identified"),MATCH($B558&amp;$D558,'Smelter Look-up'!$J:$J,0),MATCH($B558&amp;$C558,'Smelter Look-up'!$J:$J,0)))</f>
        <v>311</v>
      </c>
      <c r="X558" s="227">
        <f t="shared" si="78"/>
        <v>0</v>
      </c>
      <c r="AB558" s="228" t="str">
        <f t="shared" si="79"/>
        <v>GoldYamakin Co., Ltd.</v>
      </c>
    </row>
    <row r="559" spans="1:28" s="227" customFormat="1" ht="40.5">
      <c r="A559" s="301" t="s">
        <v>736</v>
      </c>
      <c r="B559" s="293" t="s">
        <v>1119</v>
      </c>
      <c r="C559" s="294" t="s">
        <v>12904</v>
      </c>
      <c r="D559" s="295" t="s">
        <v>12904</v>
      </c>
      <c r="E559" s="293" t="s">
        <v>1098</v>
      </c>
      <c r="F559" s="293" t="s">
        <v>736</v>
      </c>
      <c r="G559" s="293" t="s">
        <v>13217</v>
      </c>
      <c r="H559" s="296" t="s">
        <v>15855</v>
      </c>
      <c r="I559" s="297" t="s">
        <v>12918</v>
      </c>
      <c r="J559" s="297" t="s">
        <v>6605</v>
      </c>
      <c r="K559" s="298" t="s">
        <v>15855</v>
      </c>
      <c r="L559" s="298" t="s">
        <v>15855</v>
      </c>
      <c r="M559" s="298" t="s">
        <v>15855</v>
      </c>
      <c r="N559" s="298" t="s">
        <v>15855</v>
      </c>
      <c r="O559" s="298" t="s">
        <v>15858</v>
      </c>
      <c r="P559" s="299" t="s">
        <v>15857</v>
      </c>
      <c r="Q559" s="300" t="s">
        <v>15855</v>
      </c>
      <c r="R559" s="182" t="str">
        <f ca="1">IF(ISERROR($V559),"",OFFSET('Smelter Look-up'!$C$4,$V559-4,0)&amp;"")</f>
        <v>Yamakin Co., Ltd.</v>
      </c>
      <c r="S559" s="181" t="str">
        <f t="shared" ca="1" si="77"/>
        <v>JP</v>
      </c>
      <c r="T559" s="181" t="str">
        <f ca="1">IF(B559="","",IF(ISERROR(MATCH($J559,SorP!$B$1:$B$6226,0)),"",INDIRECT("'SorP'!$A$"&amp;MATCH($S559&amp;$J559,SorP!C:C,0))))</f>
        <v>JP-39</v>
      </c>
      <c r="U559" s="201"/>
      <c r="V559" s="226">
        <f>IF(C559="",NA(),IF(OR(C559="Smelter not listed",C559="Smelter not yet identified"),MATCH($B559&amp;$D559,'Smelter Look-up'!$J:$J,0),MATCH($B559&amp;$C559,'Smelter Look-up'!$J:$J,0)))</f>
        <v>311</v>
      </c>
      <c r="X559" s="227">
        <f t="shared" si="78"/>
        <v>0</v>
      </c>
      <c r="AB559" s="228" t="str">
        <f t="shared" si="79"/>
        <v>GoldYamakin Co., Ltd.</v>
      </c>
    </row>
    <row r="560" spans="1:28" s="227" customFormat="1" ht="40.5">
      <c r="A560" s="301" t="s">
        <v>736</v>
      </c>
      <c r="B560" s="293" t="s">
        <v>1119</v>
      </c>
      <c r="C560" s="294" t="s">
        <v>12904</v>
      </c>
      <c r="D560" s="295" t="s">
        <v>12904</v>
      </c>
      <c r="E560" s="293" t="s">
        <v>1098</v>
      </c>
      <c r="F560" s="293" t="s">
        <v>736</v>
      </c>
      <c r="G560" s="293" t="s">
        <v>13217</v>
      </c>
      <c r="H560" s="296" t="s">
        <v>15855</v>
      </c>
      <c r="I560" s="297" t="s">
        <v>12918</v>
      </c>
      <c r="J560" s="297" t="s">
        <v>6605</v>
      </c>
      <c r="K560" s="298" t="s">
        <v>16326</v>
      </c>
      <c r="L560" s="298" t="s">
        <v>16327</v>
      </c>
      <c r="M560" s="298" t="s">
        <v>15869</v>
      </c>
      <c r="N560" s="298" t="s">
        <v>15870</v>
      </c>
      <c r="O560" s="298" t="s">
        <v>16257</v>
      </c>
      <c r="P560" s="299" t="s">
        <v>15857</v>
      </c>
      <c r="Q560" s="300" t="s">
        <v>15855</v>
      </c>
      <c r="R560" s="182" t="str">
        <f ca="1">IF(ISERROR($V560),"",OFFSET('Smelter Look-up'!$C$4,$V560-4,0)&amp;"")</f>
        <v>Yamakin Co., Ltd.</v>
      </c>
      <c r="S560" s="181" t="str">
        <f t="shared" ca="1" si="77"/>
        <v>JP</v>
      </c>
      <c r="T560" s="181" t="str">
        <f ca="1">IF(B560="","",IF(ISERROR(MATCH($J560,SorP!$B$1:$B$6226,0)),"",INDIRECT("'SorP'!$A$"&amp;MATCH($S560&amp;$J560,SorP!C:C,0))))</f>
        <v>JP-39</v>
      </c>
      <c r="U560" s="201"/>
      <c r="V560" s="226">
        <f>IF(C560="",NA(),IF(OR(C560="Smelter not listed",C560="Smelter not yet identified"),MATCH($B560&amp;$D560,'Smelter Look-up'!$J:$J,0),MATCH($B560&amp;$C560,'Smelter Look-up'!$J:$J,0)))</f>
        <v>311</v>
      </c>
      <c r="X560" s="227">
        <f t="shared" si="78"/>
        <v>0</v>
      </c>
      <c r="AB560" s="228" t="str">
        <f t="shared" si="79"/>
        <v>GoldYamakin Co., Ltd.</v>
      </c>
    </row>
    <row r="561" spans="1:28" s="227" customFormat="1" ht="40.5">
      <c r="A561" s="301" t="s">
        <v>736</v>
      </c>
      <c r="B561" s="293" t="s">
        <v>1119</v>
      </c>
      <c r="C561" s="294" t="s">
        <v>12904</v>
      </c>
      <c r="D561" s="295" t="s">
        <v>12904</v>
      </c>
      <c r="E561" s="293" t="s">
        <v>1098</v>
      </c>
      <c r="F561" s="293" t="s">
        <v>736</v>
      </c>
      <c r="G561" s="293" t="s">
        <v>13217</v>
      </c>
      <c r="H561" s="302" t="s">
        <v>15880</v>
      </c>
      <c r="I561" s="297" t="s">
        <v>12918</v>
      </c>
      <c r="J561" s="297" t="s">
        <v>6605</v>
      </c>
      <c r="K561" s="298" t="s">
        <v>15855</v>
      </c>
      <c r="L561" s="298" t="s">
        <v>15855</v>
      </c>
      <c r="M561" s="298" t="s">
        <v>15855</v>
      </c>
      <c r="N561" s="298" t="s">
        <v>15855</v>
      </c>
      <c r="O561" s="298" t="s">
        <v>15855</v>
      </c>
      <c r="P561" s="299" t="s">
        <v>15857</v>
      </c>
      <c r="Q561" s="300" t="s">
        <v>15855</v>
      </c>
      <c r="R561" s="182" t="str">
        <f ca="1">IF(ISERROR($V561),"",OFFSET('Smelter Look-up'!$C$4,$V561-4,0)&amp;"")</f>
        <v>Yamakin Co., Ltd.</v>
      </c>
      <c r="S561" s="181" t="str">
        <f t="shared" ca="1" si="77"/>
        <v>JP</v>
      </c>
      <c r="T561" s="181" t="str">
        <f ca="1">IF(B561="","",IF(ISERROR(MATCH($J561,SorP!$B$1:$B$6226,0)),"",INDIRECT("'SorP'!$A$"&amp;MATCH($S561&amp;$J561,SorP!C:C,0))))</f>
        <v>JP-39</v>
      </c>
      <c r="U561" s="201"/>
      <c r="V561" s="226">
        <f>IF(C561="",NA(),IF(OR(C561="Smelter not listed",C561="Smelter not yet identified"),MATCH($B561&amp;$D561,'Smelter Look-up'!$J:$J,0),MATCH($B561&amp;$C561,'Smelter Look-up'!$J:$J,0)))</f>
        <v>311</v>
      </c>
      <c r="X561" s="227">
        <f t="shared" si="78"/>
        <v>0</v>
      </c>
      <c r="AB561" s="228" t="str">
        <f t="shared" si="79"/>
        <v>GoldYamakin Co., Ltd.</v>
      </c>
    </row>
    <row r="562" spans="1:28" s="227" customFormat="1" ht="54">
      <c r="A562" s="301" t="s">
        <v>737</v>
      </c>
      <c r="B562" s="293" t="s">
        <v>1119</v>
      </c>
      <c r="C562" s="294" t="s">
        <v>2149</v>
      </c>
      <c r="D562" s="295" t="s">
        <v>2149</v>
      </c>
      <c r="E562" s="293" t="s">
        <v>1098</v>
      </c>
      <c r="F562" s="293" t="s">
        <v>737</v>
      </c>
      <c r="G562" s="293" t="s">
        <v>13217</v>
      </c>
      <c r="H562" s="296" t="s">
        <v>15855</v>
      </c>
      <c r="I562" s="297" t="s">
        <v>1677</v>
      </c>
      <c r="J562" s="297" t="s">
        <v>1656</v>
      </c>
      <c r="K562" s="298" t="s">
        <v>15855</v>
      </c>
      <c r="L562" s="298" t="s">
        <v>15855</v>
      </c>
      <c r="M562" s="298" t="s">
        <v>15855</v>
      </c>
      <c r="N562" s="298" t="s">
        <v>15855</v>
      </c>
      <c r="O562" s="298" t="s">
        <v>15855</v>
      </c>
      <c r="P562" s="299" t="s">
        <v>15857</v>
      </c>
      <c r="Q562" s="300" t="s">
        <v>15855</v>
      </c>
      <c r="R562" s="182" t="str">
        <f ca="1">IF(ISERROR($V562),"",OFFSET('Smelter Look-up'!$C$4,$V562-4,0)&amp;"")</f>
        <v>Yokohama Metal Co., Ltd.</v>
      </c>
      <c r="S562" s="181" t="str">
        <f t="shared" ca="1" si="77"/>
        <v>JP</v>
      </c>
      <c r="T562" s="181" t="str">
        <f ca="1">IF(B562="","",IF(ISERROR(MATCH($J562,SorP!$B$1:$B$6226,0)),"",INDIRECT("'SorP'!$A$"&amp;MATCH($S562&amp;$J562,SorP!C:C,0))))</f>
        <v>JP-14</v>
      </c>
      <c r="U562" s="201"/>
      <c r="V562" s="226">
        <f>IF(C562="",NA(),IF(OR(C562="Smelter not listed",C562="Smelter not yet identified"),MATCH($B562&amp;$D562,'Smelter Look-up'!$J:$J,0),MATCH($B562&amp;$C562,'Smelter Look-up'!$J:$J,0)))</f>
        <v>317</v>
      </c>
      <c r="X562" s="227">
        <f t="shared" si="78"/>
        <v>0</v>
      </c>
      <c r="AB562" s="228" t="str">
        <f t="shared" si="79"/>
        <v>GoldYokohama Metal Co., Ltd.</v>
      </c>
    </row>
    <row r="563" spans="1:28" s="227" customFormat="1" ht="54">
      <c r="A563" s="301" t="s">
        <v>737</v>
      </c>
      <c r="B563" s="293" t="s">
        <v>1119</v>
      </c>
      <c r="C563" s="294" t="s">
        <v>2149</v>
      </c>
      <c r="D563" s="295" t="s">
        <v>2149</v>
      </c>
      <c r="E563" s="293" t="s">
        <v>1098</v>
      </c>
      <c r="F563" s="293" t="s">
        <v>737</v>
      </c>
      <c r="G563" s="293" t="s">
        <v>13217</v>
      </c>
      <c r="H563" s="296" t="s">
        <v>15855</v>
      </c>
      <c r="I563" s="297" t="s">
        <v>1677</v>
      </c>
      <c r="J563" s="297" t="s">
        <v>1656</v>
      </c>
      <c r="K563" s="298" t="s">
        <v>15855</v>
      </c>
      <c r="L563" s="298" t="s">
        <v>15855</v>
      </c>
      <c r="M563" s="298" t="s">
        <v>15855</v>
      </c>
      <c r="N563" s="298" t="s">
        <v>15855</v>
      </c>
      <c r="O563" s="298" t="s">
        <v>15876</v>
      </c>
      <c r="P563" s="299" t="s">
        <v>15857</v>
      </c>
      <c r="Q563" s="300" t="s">
        <v>15855</v>
      </c>
      <c r="R563" s="182" t="str">
        <f ca="1">IF(ISERROR($V563),"",OFFSET('Smelter Look-up'!$C$4,$V563-4,0)&amp;"")</f>
        <v>Yokohama Metal Co., Ltd.</v>
      </c>
      <c r="S563" s="181" t="str">
        <f t="shared" ca="1" si="77"/>
        <v>JP</v>
      </c>
      <c r="T563" s="181" t="str">
        <f ca="1">IF(B563="","",IF(ISERROR(MATCH($J563,SorP!$B$1:$B$6226,0)),"",INDIRECT("'SorP'!$A$"&amp;MATCH($S563&amp;$J563,SorP!C:C,0))))</f>
        <v>JP-14</v>
      </c>
      <c r="U563" s="201"/>
      <c r="V563" s="226">
        <f>IF(C563="",NA(),IF(OR(C563="Smelter not listed",C563="Smelter not yet identified"),MATCH($B563&amp;$D563,'Smelter Look-up'!$J:$J,0),MATCH($B563&amp;$C563,'Smelter Look-up'!$J:$J,0)))</f>
        <v>317</v>
      </c>
      <c r="X563" s="227">
        <f t="shared" si="78"/>
        <v>0</v>
      </c>
      <c r="AB563" s="228" t="str">
        <f t="shared" si="79"/>
        <v>GoldYokohama Metal Co., Ltd.</v>
      </c>
    </row>
    <row r="564" spans="1:28" s="227" customFormat="1" ht="54">
      <c r="A564" s="301" t="s">
        <v>737</v>
      </c>
      <c r="B564" s="293" t="s">
        <v>1119</v>
      </c>
      <c r="C564" s="294" t="s">
        <v>2149</v>
      </c>
      <c r="D564" s="295" t="s">
        <v>2149</v>
      </c>
      <c r="E564" s="293" t="s">
        <v>1098</v>
      </c>
      <c r="F564" s="293" t="s">
        <v>737</v>
      </c>
      <c r="G564" s="293" t="s">
        <v>13217</v>
      </c>
      <c r="H564" s="296" t="s">
        <v>15855</v>
      </c>
      <c r="I564" s="297" t="s">
        <v>1677</v>
      </c>
      <c r="J564" s="297" t="s">
        <v>1656</v>
      </c>
      <c r="K564" s="298" t="s">
        <v>16328</v>
      </c>
      <c r="L564" s="298" t="s">
        <v>16329</v>
      </c>
      <c r="M564" s="298" t="s">
        <v>15869</v>
      </c>
      <c r="N564" s="298" t="s">
        <v>15876</v>
      </c>
      <c r="O564" s="298" t="s">
        <v>15879</v>
      </c>
      <c r="P564" s="299" t="s">
        <v>15875</v>
      </c>
      <c r="Q564" s="300" t="s">
        <v>15855</v>
      </c>
      <c r="R564" s="182" t="str">
        <f ca="1">IF(ISERROR($V564),"",OFFSET('Smelter Look-up'!$C$4,$V564-4,0)&amp;"")</f>
        <v>Yokohama Metal Co., Ltd.</v>
      </c>
      <c r="S564" s="181" t="str">
        <f t="shared" ca="1" si="77"/>
        <v>JP</v>
      </c>
      <c r="T564" s="181" t="str">
        <f ca="1">IF(B564="","",IF(ISERROR(MATCH($J564,SorP!$B$1:$B$6226,0)),"",INDIRECT("'SorP'!$A$"&amp;MATCH($S564&amp;$J564,SorP!C:C,0))))</f>
        <v>JP-14</v>
      </c>
      <c r="U564" s="201"/>
      <c r="V564" s="226">
        <f>IF(C564="",NA(),IF(OR(C564="Smelter not listed",C564="Smelter not yet identified"),MATCH($B564&amp;$D564,'Smelter Look-up'!$J:$J,0),MATCH($B564&amp;$C564,'Smelter Look-up'!$J:$J,0)))</f>
        <v>317</v>
      </c>
      <c r="X564" s="227">
        <f t="shared" si="78"/>
        <v>0</v>
      </c>
      <c r="AB564" s="228" t="str">
        <f t="shared" si="79"/>
        <v>GoldYokohama Metal Co., Ltd.</v>
      </c>
    </row>
    <row r="565" spans="1:28" s="227" customFormat="1" ht="54">
      <c r="A565" s="301" t="s">
        <v>737</v>
      </c>
      <c r="B565" s="293" t="s">
        <v>1119</v>
      </c>
      <c r="C565" s="294" t="s">
        <v>2149</v>
      </c>
      <c r="D565" s="295" t="s">
        <v>2149</v>
      </c>
      <c r="E565" s="293" t="s">
        <v>1098</v>
      </c>
      <c r="F565" s="293" t="s">
        <v>737</v>
      </c>
      <c r="G565" s="293" t="s">
        <v>13217</v>
      </c>
      <c r="H565" s="302" t="s">
        <v>15880</v>
      </c>
      <c r="I565" s="297" t="s">
        <v>1677</v>
      </c>
      <c r="J565" s="297" t="s">
        <v>1656</v>
      </c>
      <c r="K565" s="298" t="s">
        <v>15855</v>
      </c>
      <c r="L565" s="298" t="s">
        <v>15855</v>
      </c>
      <c r="M565" s="298" t="s">
        <v>15855</v>
      </c>
      <c r="N565" s="298" t="s">
        <v>15855</v>
      </c>
      <c r="O565" s="298" t="s">
        <v>15855</v>
      </c>
      <c r="P565" s="299" t="s">
        <v>15857</v>
      </c>
      <c r="Q565" s="300" t="s">
        <v>15855</v>
      </c>
      <c r="R565" s="182" t="str">
        <f ca="1">IF(ISERROR($V565),"",OFFSET('Smelter Look-up'!$C$4,$V565-4,0)&amp;"")</f>
        <v>Yokohama Metal Co., Ltd.</v>
      </c>
      <c r="S565" s="181" t="str">
        <f t="shared" ca="1" si="77"/>
        <v>JP</v>
      </c>
      <c r="T565" s="181" t="str">
        <f ca="1">IF(B565="","",IF(ISERROR(MATCH($J565,SorP!$B$1:$B$6226,0)),"",INDIRECT("'SorP'!$A$"&amp;MATCH($S565&amp;$J565,SorP!C:C,0))))</f>
        <v>JP-14</v>
      </c>
      <c r="U565" s="201"/>
      <c r="V565" s="226">
        <f>IF(C565="",NA(),IF(OR(C565="Smelter not listed",C565="Smelter not yet identified"),MATCH($B565&amp;$D565,'Smelter Look-up'!$J:$J,0),MATCH($B565&amp;$C565,'Smelter Look-up'!$J:$J,0)))</f>
        <v>317</v>
      </c>
      <c r="X565" s="227">
        <f t="shared" si="78"/>
        <v>0</v>
      </c>
      <c r="AB565" s="228" t="str">
        <f t="shared" si="79"/>
        <v>GoldYokohama Metal Co., Ltd.</v>
      </c>
    </row>
    <row r="566" spans="1:28" s="227" customFormat="1" ht="67.5">
      <c r="A566" s="301" t="s">
        <v>738</v>
      </c>
      <c r="B566" s="293" t="s">
        <v>1119</v>
      </c>
      <c r="C566" s="294" t="s">
        <v>2126</v>
      </c>
      <c r="D566" s="295" t="s">
        <v>2126</v>
      </c>
      <c r="E566" s="293" t="s">
        <v>1090</v>
      </c>
      <c r="F566" s="293" t="s">
        <v>738</v>
      </c>
      <c r="G566" s="293" t="s">
        <v>13217</v>
      </c>
      <c r="H566" s="296" t="s">
        <v>15855</v>
      </c>
      <c r="I566" s="297" t="s">
        <v>1560</v>
      </c>
      <c r="J566" s="297" t="s">
        <v>13605</v>
      </c>
      <c r="K566" s="298" t="s">
        <v>15855</v>
      </c>
      <c r="L566" s="298" t="s">
        <v>15855</v>
      </c>
      <c r="M566" s="298" t="s">
        <v>15855</v>
      </c>
      <c r="N566" s="298" t="s">
        <v>15855</v>
      </c>
      <c r="O566" s="298" t="s">
        <v>15858</v>
      </c>
      <c r="P566" s="299" t="s">
        <v>15857</v>
      </c>
      <c r="Q566" s="300" t="s">
        <v>15855</v>
      </c>
      <c r="R566" s="182" t="str">
        <f ca="1">IF(ISERROR($V566),"",OFFSET('Smelter Look-up'!$C$4,$V566-4,0)&amp;"")</f>
        <v>Yunnan Copper Industry Co., Ltd.</v>
      </c>
      <c r="S566" s="181" t="str">
        <f t="shared" ca="1" si="77"/>
        <v>CN</v>
      </c>
      <c r="T566" s="181" t="str">
        <f ca="1">IF(B566="","",IF(ISERROR(MATCH($J566,SorP!$B$1:$B$6226,0)),"",INDIRECT("'SorP'!$A$"&amp;MATCH($S566&amp;$J566,SorP!C:C,0))))</f>
        <v>CN-YN</v>
      </c>
      <c r="U566" s="201"/>
      <c r="V566" s="226">
        <f>IF(C566="",NA(),IF(OR(C566="Smelter not listed",C566="Smelter not yet identified"),MATCH($B566&amp;$D566,'Smelter Look-up'!$J:$J,0),MATCH($B566&amp;$C566,'Smelter Look-up'!$J:$J,0)))</f>
        <v>318</v>
      </c>
      <c r="X566" s="227">
        <f t="shared" si="78"/>
        <v>0</v>
      </c>
      <c r="AB566" s="228" t="str">
        <f t="shared" si="79"/>
        <v>GoldYunnan Copper Industry Co., Ltd.</v>
      </c>
    </row>
    <row r="567" spans="1:28" s="227" customFormat="1" ht="67.5">
      <c r="A567" s="301" t="s">
        <v>739</v>
      </c>
      <c r="B567" s="293" t="s">
        <v>1119</v>
      </c>
      <c r="C567" s="294" t="s">
        <v>13812</v>
      </c>
      <c r="D567" s="295" t="s">
        <v>1313</v>
      </c>
      <c r="E567" s="293" t="s">
        <v>1090</v>
      </c>
      <c r="F567" s="293" t="s">
        <v>739</v>
      </c>
      <c r="G567" s="293" t="s">
        <v>13217</v>
      </c>
      <c r="H567" s="296" t="s">
        <v>15855</v>
      </c>
      <c r="I567" s="297" t="s">
        <v>1678</v>
      </c>
      <c r="J567" s="297" t="s">
        <v>13598</v>
      </c>
      <c r="K567" s="298" t="s">
        <v>15855</v>
      </c>
      <c r="L567" s="298" t="s">
        <v>15855</v>
      </c>
      <c r="M567" s="298" t="s">
        <v>15855</v>
      </c>
      <c r="N567" s="298" t="s">
        <v>15855</v>
      </c>
      <c r="O567" s="298" t="s">
        <v>15855</v>
      </c>
      <c r="P567" s="299" t="s">
        <v>15857</v>
      </c>
      <c r="Q567" s="300" t="s">
        <v>15855</v>
      </c>
      <c r="R567" s="182" t="str">
        <f ca="1">IF(ISERROR($V567),"",OFFSET('Smelter Look-up'!$C$4,$V567-4,0)&amp;"")</f>
        <v>Zhongyuan Gold Smelter of Zhongjin Gold Corporation</v>
      </c>
      <c r="S567" s="181" t="str">
        <f t="shared" ca="1" si="77"/>
        <v>CN</v>
      </c>
      <c r="T567" s="181" t="str">
        <f ca="1">IF(B567="","",IF(ISERROR(MATCH($J567,SorP!$B$1:$B$6226,0)),"",INDIRECT("'SorP'!$A$"&amp;MATCH($S567&amp;$J567,SorP!C:C,0))))</f>
        <v>CN-HA</v>
      </c>
      <c r="U567" s="201"/>
      <c r="V567" s="226">
        <f>IF(C567="",NA(),IF(OR(C567="Smelter not listed",C567="Smelter not yet identified"),MATCH($B567&amp;$D567,'Smelter Look-up'!$J:$J,0),MATCH($B567&amp;$C567,'Smelter Look-up'!$J:$J,0)))</f>
        <v>58</v>
      </c>
      <c r="X567" s="227">
        <f t="shared" si="78"/>
        <v>0</v>
      </c>
      <c r="AB567" s="228" t="str">
        <f t="shared" si="79"/>
        <v>GoldChina Henan Zhongyuan Gold Smelter</v>
      </c>
    </row>
    <row r="568" spans="1:28" s="227" customFormat="1" ht="121.5">
      <c r="A568" s="301" t="s">
        <v>739</v>
      </c>
      <c r="B568" s="293" t="s">
        <v>1119</v>
      </c>
      <c r="C568" s="294" t="s">
        <v>1313</v>
      </c>
      <c r="D568" s="295" t="s">
        <v>1313</v>
      </c>
      <c r="E568" s="293" t="s">
        <v>1090</v>
      </c>
      <c r="F568" s="293" t="s">
        <v>739</v>
      </c>
      <c r="G568" s="293" t="s">
        <v>13217</v>
      </c>
      <c r="H568" s="296" t="s">
        <v>15855</v>
      </c>
      <c r="I568" s="297" t="s">
        <v>1678</v>
      </c>
      <c r="J568" s="297" t="s">
        <v>13598</v>
      </c>
      <c r="K568" s="298" t="s">
        <v>15855</v>
      </c>
      <c r="L568" s="298" t="s">
        <v>15855</v>
      </c>
      <c r="M568" s="298" t="s">
        <v>15855</v>
      </c>
      <c r="N568" s="298" t="s">
        <v>15855</v>
      </c>
      <c r="O568" s="298" t="s">
        <v>15855</v>
      </c>
      <c r="P568" s="299" t="s">
        <v>15857</v>
      </c>
      <c r="Q568" s="300" t="s">
        <v>15855</v>
      </c>
      <c r="R568" s="182" t="str">
        <f ca="1">IF(ISERROR($V568),"",OFFSET('Smelter Look-up'!$C$4,$V568-4,0)&amp;"")</f>
        <v>Zhongyuan Gold Smelter of Zhongjin Gold Corporation</v>
      </c>
      <c r="S568" s="181" t="str">
        <f t="shared" ca="1" si="77"/>
        <v>CN</v>
      </c>
      <c r="T568" s="181" t="str">
        <f ca="1">IF(B568="","",IF(ISERROR(MATCH($J568,SorP!$B$1:$B$6226,0)),"",INDIRECT("'SorP'!$A$"&amp;MATCH($S568&amp;$J568,SorP!C:C,0))))</f>
        <v>CN-HA</v>
      </c>
      <c r="U568" s="201"/>
      <c r="V568" s="226">
        <f>IF(C568="",NA(),IF(OR(C568="Smelter not listed",C568="Smelter not yet identified"),MATCH($B568&amp;$D568,'Smelter Look-up'!$J:$J,0),MATCH($B568&amp;$C568,'Smelter Look-up'!$J:$J,0)))</f>
        <v>327</v>
      </c>
      <c r="X568" s="227">
        <f t="shared" si="78"/>
        <v>0</v>
      </c>
      <c r="AB568" s="228" t="str">
        <f t="shared" si="79"/>
        <v>GoldZhongyuan Gold Smelter of Zhongjin Gold Corporation</v>
      </c>
    </row>
    <row r="569" spans="1:28" s="227" customFormat="1" ht="121.5">
      <c r="A569" s="301" t="s">
        <v>739</v>
      </c>
      <c r="B569" s="293" t="s">
        <v>1119</v>
      </c>
      <c r="C569" s="294" t="s">
        <v>1313</v>
      </c>
      <c r="D569" s="295" t="s">
        <v>1313</v>
      </c>
      <c r="E569" s="293" t="s">
        <v>1090</v>
      </c>
      <c r="F569" s="293" t="s">
        <v>739</v>
      </c>
      <c r="G569" s="293" t="s">
        <v>13217</v>
      </c>
      <c r="H569" s="296" t="s">
        <v>15855</v>
      </c>
      <c r="I569" s="297" t="s">
        <v>1678</v>
      </c>
      <c r="J569" s="297" t="s">
        <v>13598</v>
      </c>
      <c r="K569" s="298" t="s">
        <v>15855</v>
      </c>
      <c r="L569" s="298" t="s">
        <v>15855</v>
      </c>
      <c r="M569" s="298" t="s">
        <v>15855</v>
      </c>
      <c r="N569" s="298" t="s">
        <v>15855</v>
      </c>
      <c r="O569" s="298" t="s">
        <v>15855</v>
      </c>
      <c r="P569" s="299" t="s">
        <v>15875</v>
      </c>
      <c r="Q569" s="300" t="s">
        <v>15855</v>
      </c>
      <c r="R569" s="182" t="str">
        <f ca="1">IF(ISERROR($V569),"",OFFSET('Smelter Look-up'!$C$4,$V569-4,0)&amp;"")</f>
        <v>Zhongyuan Gold Smelter of Zhongjin Gold Corporation</v>
      </c>
      <c r="S569" s="181" t="str">
        <f t="shared" ca="1" si="77"/>
        <v>CN</v>
      </c>
      <c r="T569" s="181" t="str">
        <f ca="1">IF(B569="","",IF(ISERROR(MATCH($J569,SorP!$B$1:$B$6226,0)),"",INDIRECT("'SorP'!$A$"&amp;MATCH($S569&amp;$J569,SorP!C:C,0))))</f>
        <v>CN-HA</v>
      </c>
      <c r="U569" s="201"/>
      <c r="V569" s="226">
        <f>IF(C569="",NA(),IF(OR(C569="Smelter not listed",C569="Smelter not yet identified"),MATCH($B569&amp;$D569,'Smelter Look-up'!$J:$J,0),MATCH($B569&amp;$C569,'Smelter Look-up'!$J:$J,0)))</f>
        <v>327</v>
      </c>
      <c r="X569" s="227">
        <f t="shared" si="78"/>
        <v>0</v>
      </c>
      <c r="AB569" s="228" t="str">
        <f t="shared" si="79"/>
        <v>GoldZhongyuan Gold Smelter of Zhongjin Gold Corporation</v>
      </c>
    </row>
    <row r="570" spans="1:28" s="227" customFormat="1" ht="121.5">
      <c r="A570" s="301" t="s">
        <v>739</v>
      </c>
      <c r="B570" s="293" t="s">
        <v>1119</v>
      </c>
      <c r="C570" s="294" t="s">
        <v>1313</v>
      </c>
      <c r="D570" s="295" t="s">
        <v>1313</v>
      </c>
      <c r="E570" s="293" t="s">
        <v>1090</v>
      </c>
      <c r="F570" s="293" t="s">
        <v>739</v>
      </c>
      <c r="G570" s="293" t="s">
        <v>13217</v>
      </c>
      <c r="H570" s="296" t="s">
        <v>15855</v>
      </c>
      <c r="I570" s="297" t="s">
        <v>1678</v>
      </c>
      <c r="J570" s="297" t="s">
        <v>13598</v>
      </c>
      <c r="K570" s="298" t="s">
        <v>15855</v>
      </c>
      <c r="L570" s="298" t="s">
        <v>15855</v>
      </c>
      <c r="M570" s="298" t="s">
        <v>15855</v>
      </c>
      <c r="N570" s="298" t="s">
        <v>15855</v>
      </c>
      <c r="O570" s="298" t="s">
        <v>15858</v>
      </c>
      <c r="P570" s="299" t="s">
        <v>15857</v>
      </c>
      <c r="Q570" s="300" t="s">
        <v>15855</v>
      </c>
      <c r="R570" s="182" t="str">
        <f ca="1">IF(ISERROR($V570),"",OFFSET('Smelter Look-up'!$C$4,$V570-4,0)&amp;"")</f>
        <v>Zhongyuan Gold Smelter of Zhongjin Gold Corporation</v>
      </c>
      <c r="S570" s="181" t="str">
        <f t="shared" ca="1" si="77"/>
        <v>CN</v>
      </c>
      <c r="T570" s="181" t="str">
        <f ca="1">IF(B570="","",IF(ISERROR(MATCH($J570,SorP!$B$1:$B$6226,0)),"",INDIRECT("'SorP'!$A$"&amp;MATCH($S570&amp;$J570,SorP!C:C,0))))</f>
        <v>CN-HA</v>
      </c>
      <c r="U570" s="201"/>
      <c r="V570" s="226">
        <f>IF(C570="",NA(),IF(OR(C570="Smelter not listed",C570="Smelter not yet identified"),MATCH($B570&amp;$D570,'Smelter Look-up'!$J:$J,0),MATCH($B570&amp;$C570,'Smelter Look-up'!$J:$J,0)))</f>
        <v>327</v>
      </c>
      <c r="X570" s="227">
        <f t="shared" si="78"/>
        <v>0</v>
      </c>
      <c r="AB570" s="228" t="str">
        <f t="shared" si="79"/>
        <v>GoldZhongyuan Gold Smelter of Zhongjin Gold Corporation</v>
      </c>
    </row>
    <row r="571" spans="1:28" s="227" customFormat="1" ht="121.5">
      <c r="A571" s="301" t="s">
        <v>739</v>
      </c>
      <c r="B571" s="293" t="s">
        <v>1119</v>
      </c>
      <c r="C571" s="294" t="s">
        <v>1313</v>
      </c>
      <c r="D571" s="295" t="s">
        <v>1313</v>
      </c>
      <c r="E571" s="293" t="s">
        <v>1090</v>
      </c>
      <c r="F571" s="293" t="s">
        <v>739</v>
      </c>
      <c r="G571" s="293" t="s">
        <v>13217</v>
      </c>
      <c r="H571" s="296" t="s">
        <v>15855</v>
      </c>
      <c r="I571" s="297" t="s">
        <v>1678</v>
      </c>
      <c r="J571" s="297" t="s">
        <v>13598</v>
      </c>
      <c r="K571" s="298" t="s">
        <v>15855</v>
      </c>
      <c r="L571" s="298" t="s">
        <v>16330</v>
      </c>
      <c r="M571" s="298" t="s">
        <v>15953</v>
      </c>
      <c r="N571" s="298" t="s">
        <v>1313</v>
      </c>
      <c r="O571" s="298" t="s">
        <v>15994</v>
      </c>
      <c r="P571" s="299" t="s">
        <v>15857</v>
      </c>
      <c r="Q571" s="300" t="s">
        <v>15855</v>
      </c>
      <c r="R571" s="182" t="str">
        <f ca="1">IF(ISERROR($V571),"",OFFSET('Smelter Look-up'!$C$4,$V571-4,0)&amp;"")</f>
        <v>Zhongyuan Gold Smelter of Zhongjin Gold Corporation</v>
      </c>
      <c r="S571" s="181" t="str">
        <f t="shared" ca="1" si="77"/>
        <v>CN</v>
      </c>
      <c r="T571" s="181" t="str">
        <f ca="1">IF(B571="","",IF(ISERROR(MATCH($J571,SorP!$B$1:$B$6226,0)),"",INDIRECT("'SorP'!$A$"&amp;MATCH($S571&amp;$J571,SorP!C:C,0))))</f>
        <v>CN-HA</v>
      </c>
      <c r="U571" s="201"/>
      <c r="V571" s="226">
        <f>IF(C571="",NA(),IF(OR(C571="Smelter not listed",C571="Smelter not yet identified"),MATCH($B571&amp;$D571,'Smelter Look-up'!$J:$J,0),MATCH($B571&amp;$C571,'Smelter Look-up'!$J:$J,0)))</f>
        <v>327</v>
      </c>
      <c r="X571" s="227">
        <f t="shared" si="78"/>
        <v>0</v>
      </c>
      <c r="AB571" s="228" t="str">
        <f t="shared" si="79"/>
        <v>GoldZhongyuan Gold Smelter of Zhongjin Gold Corporation</v>
      </c>
    </row>
    <row r="572" spans="1:28" s="227" customFormat="1" ht="121.5">
      <c r="A572" s="301" t="s">
        <v>739</v>
      </c>
      <c r="B572" s="293" t="s">
        <v>1119</v>
      </c>
      <c r="C572" s="294" t="s">
        <v>1313</v>
      </c>
      <c r="D572" s="295" t="s">
        <v>1313</v>
      </c>
      <c r="E572" s="293" t="s">
        <v>1090</v>
      </c>
      <c r="F572" s="293" t="s">
        <v>739</v>
      </c>
      <c r="G572" s="293" t="s">
        <v>13217</v>
      </c>
      <c r="H572" s="302" t="s">
        <v>15880</v>
      </c>
      <c r="I572" s="297" t="s">
        <v>1678</v>
      </c>
      <c r="J572" s="297" t="s">
        <v>16331</v>
      </c>
      <c r="K572" s="298" t="s">
        <v>15855</v>
      </c>
      <c r="L572" s="298" t="s">
        <v>15855</v>
      </c>
      <c r="M572" s="298" t="s">
        <v>15855</v>
      </c>
      <c r="N572" s="298" t="s">
        <v>15855</v>
      </c>
      <c r="O572" s="298" t="s">
        <v>15855</v>
      </c>
      <c r="P572" s="299" t="s">
        <v>15857</v>
      </c>
      <c r="Q572" s="300" t="s">
        <v>15855</v>
      </c>
      <c r="R572" s="182" t="str">
        <f ca="1">IF(ISERROR($V572),"",OFFSET('Smelter Look-up'!$C$4,$V572-4,0)&amp;"")</f>
        <v>Zhongyuan Gold Smelter of Zhongjin Gold Corporation</v>
      </c>
      <c r="S572" s="181" t="str">
        <f t="shared" ca="1" si="77"/>
        <v>CN</v>
      </c>
      <c r="T572" s="181" t="str">
        <f ca="1">IF(B572="","",IF(ISERROR(MATCH($J572,SorP!$B$1:$B$6226,0)),"",INDIRECT("'SorP'!$A$"&amp;MATCH($S572&amp;$J572,SorP!C:C,0))))</f>
        <v/>
      </c>
      <c r="U572" s="201"/>
      <c r="V572" s="226">
        <f>IF(C572="",NA(),IF(OR(C572="Smelter not listed",C572="Smelter not yet identified"),MATCH($B572&amp;$D572,'Smelter Look-up'!$J:$J,0),MATCH($B572&amp;$C572,'Smelter Look-up'!$J:$J,0)))</f>
        <v>327</v>
      </c>
      <c r="X572" s="227">
        <f t="shared" si="78"/>
        <v>0</v>
      </c>
      <c r="AB572" s="228" t="str">
        <f t="shared" si="79"/>
        <v>GoldZhongyuan Gold Smelter of Zhongjin Gold Corporation</v>
      </c>
    </row>
    <row r="573" spans="1:28" s="227" customFormat="1" ht="121.5">
      <c r="A573" s="301" t="s">
        <v>739</v>
      </c>
      <c r="B573" s="293" t="s">
        <v>1119</v>
      </c>
      <c r="C573" s="294" t="s">
        <v>1313</v>
      </c>
      <c r="D573" s="295" t="s">
        <v>1313</v>
      </c>
      <c r="E573" s="293" t="s">
        <v>1090</v>
      </c>
      <c r="F573" s="293" t="s">
        <v>739</v>
      </c>
      <c r="G573" s="293" t="s">
        <v>13217</v>
      </c>
      <c r="H573" s="302" t="s">
        <v>15880</v>
      </c>
      <c r="I573" s="297" t="s">
        <v>1678</v>
      </c>
      <c r="J573" s="297" t="s">
        <v>13598</v>
      </c>
      <c r="K573" s="298" t="s">
        <v>15881</v>
      </c>
      <c r="L573" s="298" t="s">
        <v>15881</v>
      </c>
      <c r="M573" s="298" t="s">
        <v>12593</v>
      </c>
      <c r="N573" s="298" t="s">
        <v>15881</v>
      </c>
      <c r="O573" s="298" t="s">
        <v>15881</v>
      </c>
      <c r="P573" s="299" t="s">
        <v>15857</v>
      </c>
      <c r="Q573" s="300" t="s">
        <v>15855</v>
      </c>
      <c r="R573" s="182" t="str">
        <f ca="1">IF(ISERROR($V573),"",OFFSET('Smelter Look-up'!$C$4,$V573-4,0)&amp;"")</f>
        <v>Zhongyuan Gold Smelter of Zhongjin Gold Corporation</v>
      </c>
      <c r="S573" s="181" t="str">
        <f t="shared" ca="1" si="77"/>
        <v>CN</v>
      </c>
      <c r="T573" s="181" t="str">
        <f ca="1">IF(B573="","",IF(ISERROR(MATCH($J573,SorP!$B$1:$B$6226,0)),"",INDIRECT("'SorP'!$A$"&amp;MATCH($S573&amp;$J573,SorP!C:C,0))))</f>
        <v>CN-HA</v>
      </c>
      <c r="U573" s="201"/>
      <c r="V573" s="226">
        <f>IF(C573="",NA(),IF(OR(C573="Smelter not listed",C573="Smelter not yet identified"),MATCH($B573&amp;$D573,'Smelter Look-up'!$J:$J,0),MATCH($B573&amp;$C573,'Smelter Look-up'!$J:$J,0)))</f>
        <v>327</v>
      </c>
      <c r="X573" s="227">
        <f t="shared" si="78"/>
        <v>0</v>
      </c>
      <c r="AB573" s="228" t="str">
        <f t="shared" si="79"/>
        <v>GoldZhongyuan Gold Smelter of Zhongjin Gold Corporation</v>
      </c>
    </row>
    <row r="574" spans="1:28" s="227" customFormat="1" ht="40.5">
      <c r="A574" s="301" t="s">
        <v>746</v>
      </c>
      <c r="B574" s="293" t="s">
        <v>1121</v>
      </c>
      <c r="C574" s="294" t="s">
        <v>15431</v>
      </c>
      <c r="D574" s="295" t="s">
        <v>15431</v>
      </c>
      <c r="E574" s="293" t="s">
        <v>1086</v>
      </c>
      <c r="F574" s="293" t="s">
        <v>746</v>
      </c>
      <c r="G574" s="293" t="s">
        <v>13217</v>
      </c>
      <c r="H574" s="296" t="s">
        <v>15855</v>
      </c>
      <c r="I574" s="297" t="s">
        <v>1709</v>
      </c>
      <c r="J574" s="297" t="s">
        <v>1540</v>
      </c>
      <c r="K574" s="298" t="s">
        <v>15855</v>
      </c>
      <c r="L574" s="298" t="s">
        <v>15855</v>
      </c>
      <c r="M574" s="298" t="s">
        <v>15855</v>
      </c>
      <c r="N574" s="298" t="s">
        <v>15855</v>
      </c>
      <c r="O574" s="298" t="s">
        <v>15855</v>
      </c>
      <c r="P574" s="299" t="s">
        <v>15857</v>
      </c>
      <c r="Q574" s="300" t="s">
        <v>15855</v>
      </c>
      <c r="R574" s="182" t="str">
        <f ca="1">IF(ISERROR($V574),"",OFFSET('Smelter Look-up'!$C$4,$V574-4,0)&amp;"")</f>
        <v>AMG Brasil</v>
      </c>
      <c r="S574" s="181" t="str">
        <f t="shared" ca="1" si="77"/>
        <v>BR</v>
      </c>
      <c r="T574" s="181" t="str">
        <f ca="1">IF(B574="","",IF(ISERROR(MATCH($J574,SorP!$B$1:$B$6226,0)),"",INDIRECT("'SorP'!$A$"&amp;MATCH($S574&amp;$J574,SorP!C:C,0))))</f>
        <v>BR-MG</v>
      </c>
      <c r="U574" s="201"/>
      <c r="V574" s="226">
        <f>IF(C574="",NA(),IF(OR(C574="Smelter not listed",C574="Smelter not yet identified"),MATCH($B574&amp;$D574,'Smelter Look-up'!$J:$J,0),MATCH($B574&amp;$C574,'Smelter Look-up'!$J:$J,0)))</f>
        <v>334</v>
      </c>
      <c r="X574" s="227">
        <f t="shared" si="78"/>
        <v>0</v>
      </c>
      <c r="AB574" s="228" t="str">
        <f t="shared" si="79"/>
        <v>TantalumAMG Brasil</v>
      </c>
    </row>
    <row r="575" spans="1:28" s="227" customFormat="1" ht="40.5">
      <c r="A575" s="301" t="s">
        <v>746</v>
      </c>
      <c r="B575" s="293" t="s">
        <v>1121</v>
      </c>
      <c r="C575" s="294" t="s">
        <v>15431</v>
      </c>
      <c r="D575" s="295" t="s">
        <v>15431</v>
      </c>
      <c r="E575" s="293" t="s">
        <v>1086</v>
      </c>
      <c r="F575" s="293" t="s">
        <v>746</v>
      </c>
      <c r="G575" s="293" t="s">
        <v>13217</v>
      </c>
      <c r="H575" s="296" t="s">
        <v>15855</v>
      </c>
      <c r="I575" s="297" t="s">
        <v>1709</v>
      </c>
      <c r="J575" s="297" t="s">
        <v>1540</v>
      </c>
      <c r="K575" s="298" t="s">
        <v>16332</v>
      </c>
      <c r="L575" s="298" t="s">
        <v>16333</v>
      </c>
      <c r="M575" s="298" t="s">
        <v>15892</v>
      </c>
      <c r="N575" s="298" t="s">
        <v>15862</v>
      </c>
      <c r="O575" s="298" t="s">
        <v>16334</v>
      </c>
      <c r="P575" s="299" t="s">
        <v>15857</v>
      </c>
      <c r="Q575" s="300" t="s">
        <v>15855</v>
      </c>
      <c r="R575" s="182" t="str">
        <f ca="1">IF(ISERROR($V575),"",OFFSET('Smelter Look-up'!$C$4,$V575-4,0)&amp;"")</f>
        <v>AMG Brasil</v>
      </c>
      <c r="S575" s="181" t="str">
        <f t="shared" ca="1" si="77"/>
        <v>BR</v>
      </c>
      <c r="T575" s="181" t="str">
        <f ca="1">IF(B575="","",IF(ISERROR(MATCH($J575,SorP!$B$1:$B$6226,0)),"",INDIRECT("'SorP'!$A$"&amp;MATCH($S575&amp;$J575,SorP!C:C,0))))</f>
        <v>BR-MG</v>
      </c>
      <c r="U575" s="201"/>
      <c r="V575" s="226">
        <f>IF(C575="",NA(),IF(OR(C575="Smelter not listed",C575="Smelter not yet identified"),MATCH($B575&amp;$D575,'Smelter Look-up'!$J:$J,0),MATCH($B575&amp;$C575,'Smelter Look-up'!$J:$J,0)))</f>
        <v>334</v>
      </c>
      <c r="X575" s="227">
        <f t="shared" si="78"/>
        <v>0</v>
      </c>
      <c r="AB575" s="228" t="str">
        <f t="shared" si="79"/>
        <v>TantalumAMG Brasil</v>
      </c>
    </row>
    <row r="576" spans="1:28" s="227" customFormat="1" ht="94.5">
      <c r="A576" s="301" t="s">
        <v>16335</v>
      </c>
      <c r="B576" s="293" t="s">
        <v>1121</v>
      </c>
      <c r="C576" s="294" t="s">
        <v>16336</v>
      </c>
      <c r="D576" s="295" t="s">
        <v>16336</v>
      </c>
      <c r="E576" s="293" t="s">
        <v>1090</v>
      </c>
      <c r="F576" s="293" t="s">
        <v>16335</v>
      </c>
      <c r="G576" s="293" t="s">
        <v>13217</v>
      </c>
      <c r="H576" s="296" t="s">
        <v>15855</v>
      </c>
      <c r="I576" s="297" t="s">
        <v>16337</v>
      </c>
      <c r="J576" s="297" t="s">
        <v>13600</v>
      </c>
      <c r="K576" s="298" t="s">
        <v>15855</v>
      </c>
      <c r="L576" s="298" t="s">
        <v>15855</v>
      </c>
      <c r="M576" s="298" t="s">
        <v>15855</v>
      </c>
      <c r="N576" s="298" t="s">
        <v>15855</v>
      </c>
      <c r="O576" s="298" t="s">
        <v>15855</v>
      </c>
      <c r="P576" s="299" t="s">
        <v>15857</v>
      </c>
      <c r="Q576" s="300" t="s">
        <v>15855</v>
      </c>
      <c r="R576" s="182" t="str">
        <f ca="1">IF(ISERROR($V576),"",OFFSET('Smelter Look-up'!$C$4,$V576-4,0)&amp;"")</f>
        <v/>
      </c>
      <c r="S576" s="181" t="str">
        <f t="shared" ca="1" si="77"/>
        <v>CN</v>
      </c>
      <c r="T576" s="181" t="str">
        <f ca="1">IF(B576="","",IF(ISERROR(MATCH($J576,SorP!$B$1:$B$6226,0)),"",INDIRECT("'SorP'!$A$"&amp;MATCH($S576&amp;$J576,SorP!C:C,0))))</f>
        <v>CN-HN</v>
      </c>
      <c r="U576" s="201"/>
      <c r="V576" s="226" t="e">
        <f>IF(C576="",NA(),IF(OR(C576="Smelter not listed",C576="Smelter not yet identified"),MATCH($B576&amp;$D576,'Smelter Look-up'!$J:$J,0),MATCH($B576&amp;$C576,'Smelter Look-up'!$J:$J,0)))</f>
        <v>#N/A</v>
      </c>
      <c r="X576" s="227">
        <f t="shared" si="78"/>
        <v>0</v>
      </c>
      <c r="AB576" s="228" t="str">
        <f t="shared" si="79"/>
        <v>TantalumChangsha South Tantalum Niobium Co., Ltd.</v>
      </c>
    </row>
    <row r="577" spans="1:28" s="227" customFormat="1" ht="94.5">
      <c r="A577" s="301" t="s">
        <v>16335</v>
      </c>
      <c r="B577" s="293" t="s">
        <v>1121</v>
      </c>
      <c r="C577" s="294" t="s">
        <v>16336</v>
      </c>
      <c r="D577" s="295" t="s">
        <v>16336</v>
      </c>
      <c r="E577" s="293" t="s">
        <v>1090</v>
      </c>
      <c r="F577" s="293" t="s">
        <v>16335</v>
      </c>
      <c r="G577" s="293" t="s">
        <v>13217</v>
      </c>
      <c r="H577" s="296" t="s">
        <v>15855</v>
      </c>
      <c r="I577" s="297" t="s">
        <v>16337</v>
      </c>
      <c r="J577" s="297" t="s">
        <v>13600</v>
      </c>
      <c r="K577" s="298" t="s">
        <v>16338</v>
      </c>
      <c r="L577" s="298" t="s">
        <v>16339</v>
      </c>
      <c r="M577" s="298" t="s">
        <v>15869</v>
      </c>
      <c r="N577" s="298" t="s">
        <v>16340</v>
      </c>
      <c r="O577" s="298" t="s">
        <v>16341</v>
      </c>
      <c r="P577" s="299" t="s">
        <v>15857</v>
      </c>
      <c r="Q577" s="300" t="s">
        <v>15855</v>
      </c>
      <c r="R577" s="182" t="str">
        <f ca="1">IF(ISERROR($V577),"",OFFSET('Smelter Look-up'!$C$4,$V577-4,0)&amp;"")</f>
        <v/>
      </c>
      <c r="S577" s="181" t="str">
        <f t="shared" ca="1" si="77"/>
        <v>CN</v>
      </c>
      <c r="T577" s="181" t="str">
        <f ca="1">IF(B577="","",IF(ISERROR(MATCH($J577,SorP!$B$1:$B$6226,0)),"",INDIRECT("'SorP'!$A$"&amp;MATCH($S577&amp;$J577,SorP!C:C,0))))</f>
        <v>CN-HN</v>
      </c>
      <c r="U577" s="201"/>
      <c r="V577" s="226" t="e">
        <f>IF(C577="",NA(),IF(OR(C577="Smelter not listed",C577="Smelter not yet identified"),MATCH($B577&amp;$D577,'Smelter Look-up'!$J:$J,0),MATCH($B577&amp;$C577,'Smelter Look-up'!$J:$J,0)))</f>
        <v>#N/A</v>
      </c>
      <c r="X577" s="227">
        <f t="shared" si="78"/>
        <v>0</v>
      </c>
      <c r="AB577" s="228" t="str">
        <f t="shared" si="79"/>
        <v>TantalumChangsha South Tantalum Niobium Co., Ltd.</v>
      </c>
    </row>
    <row r="578" spans="1:28" s="227" customFormat="1" ht="94.5">
      <c r="A578" s="301" t="s">
        <v>16335</v>
      </c>
      <c r="B578" s="293" t="s">
        <v>1121</v>
      </c>
      <c r="C578" s="294" t="s">
        <v>16336</v>
      </c>
      <c r="D578" s="295" t="s">
        <v>16336</v>
      </c>
      <c r="E578" s="293" t="s">
        <v>1090</v>
      </c>
      <c r="F578" s="293" t="s">
        <v>16335</v>
      </c>
      <c r="G578" s="293" t="s">
        <v>13217</v>
      </c>
      <c r="H578" s="302" t="s">
        <v>15880</v>
      </c>
      <c r="I578" s="297" t="s">
        <v>16337</v>
      </c>
      <c r="J578" s="297" t="s">
        <v>13600</v>
      </c>
      <c r="K578" s="298" t="s">
        <v>15855</v>
      </c>
      <c r="L578" s="298" t="s">
        <v>15855</v>
      </c>
      <c r="M578" s="298" t="s">
        <v>15855</v>
      </c>
      <c r="N578" s="298" t="s">
        <v>15855</v>
      </c>
      <c r="O578" s="298" t="s">
        <v>15855</v>
      </c>
      <c r="P578" s="299" t="s">
        <v>15857</v>
      </c>
      <c r="Q578" s="300" t="s">
        <v>15855</v>
      </c>
      <c r="R578" s="182" t="str">
        <f ca="1">IF(ISERROR($V578),"",OFFSET('Smelter Look-up'!$C$4,$V578-4,0)&amp;"")</f>
        <v/>
      </c>
      <c r="S578" s="181" t="str">
        <f t="shared" ca="1" si="77"/>
        <v>CN</v>
      </c>
      <c r="T578" s="181" t="str">
        <f ca="1">IF(B578="","",IF(ISERROR(MATCH($J578,SorP!$B$1:$B$6226,0)),"",INDIRECT("'SorP'!$A$"&amp;MATCH($S578&amp;$J578,SorP!C:C,0))))</f>
        <v>CN-HN</v>
      </c>
      <c r="U578" s="201"/>
      <c r="V578" s="226" t="e">
        <f>IF(C578="",NA(),IF(OR(C578="Smelter not listed",C578="Smelter not yet identified"),MATCH($B578&amp;$D578,'Smelter Look-up'!$J:$J,0),MATCH($B578&amp;$C578,'Smelter Look-up'!$J:$J,0)))</f>
        <v>#N/A</v>
      </c>
      <c r="X578" s="227">
        <f t="shared" si="78"/>
        <v>0</v>
      </c>
      <c r="AB578" s="228" t="str">
        <f t="shared" si="79"/>
        <v>TantalumChangsha South Tantalum Niobium Co., Ltd.</v>
      </c>
    </row>
    <row r="579" spans="1:28" s="227" customFormat="1" ht="94.5">
      <c r="A579" s="301" t="s">
        <v>16335</v>
      </c>
      <c r="B579" s="293" t="s">
        <v>1121</v>
      </c>
      <c r="C579" s="294" t="s">
        <v>16336</v>
      </c>
      <c r="D579" s="295" t="s">
        <v>16336</v>
      </c>
      <c r="E579" s="293" t="s">
        <v>1090</v>
      </c>
      <c r="F579" s="293" t="s">
        <v>16335</v>
      </c>
      <c r="G579" s="293" t="s">
        <v>13217</v>
      </c>
      <c r="H579" s="296" t="s">
        <v>16342</v>
      </c>
      <c r="I579" s="297" t="s">
        <v>16337</v>
      </c>
      <c r="J579" s="297" t="s">
        <v>13600</v>
      </c>
      <c r="K579" s="298" t="s">
        <v>16338</v>
      </c>
      <c r="L579" s="298" t="s">
        <v>16339</v>
      </c>
      <c r="M579" s="298" t="s">
        <v>16343</v>
      </c>
      <c r="N579" s="298" t="s">
        <v>16344</v>
      </c>
      <c r="O579" s="298" t="s">
        <v>16344</v>
      </c>
      <c r="P579" s="299" t="s">
        <v>15857</v>
      </c>
      <c r="Q579" s="300" t="s">
        <v>16345</v>
      </c>
      <c r="R579" s="182" t="str">
        <f ca="1">IF(ISERROR($V579),"",OFFSET('Smelter Look-up'!$C$4,$V579-4,0)&amp;"")</f>
        <v/>
      </c>
      <c r="S579" s="181" t="str">
        <f t="shared" ca="1" si="77"/>
        <v>CN</v>
      </c>
      <c r="T579" s="181" t="str">
        <f ca="1">IF(B579="","",IF(ISERROR(MATCH($J579,SorP!$B$1:$B$6226,0)),"",INDIRECT("'SorP'!$A$"&amp;MATCH($S579&amp;$J579,SorP!C:C,0))))</f>
        <v>CN-HN</v>
      </c>
      <c r="U579" s="201"/>
      <c r="V579" s="226" t="e">
        <f>IF(C579="",NA(),IF(OR(C579="Smelter not listed",C579="Smelter not yet identified"),MATCH($B579&amp;$D579,'Smelter Look-up'!$J:$J,0),MATCH($B579&amp;$C579,'Smelter Look-up'!$J:$J,0)))</f>
        <v>#N/A</v>
      </c>
      <c r="X579" s="227">
        <f t="shared" si="78"/>
        <v>0</v>
      </c>
      <c r="AB579" s="228" t="str">
        <f t="shared" si="79"/>
        <v>TantalumChangsha South Tantalum Niobium Co., Ltd.</v>
      </c>
    </row>
    <row r="580" spans="1:28" s="227" customFormat="1" ht="67.5">
      <c r="A580" s="301" t="s">
        <v>1384</v>
      </c>
      <c r="B580" s="293" t="s">
        <v>1121</v>
      </c>
      <c r="C580" s="294" t="s">
        <v>1383</v>
      </c>
      <c r="D580" s="295" t="s">
        <v>1383</v>
      </c>
      <c r="E580" s="293" t="s">
        <v>2415</v>
      </c>
      <c r="F580" s="293" t="s">
        <v>1384</v>
      </c>
      <c r="G580" s="293" t="s">
        <v>13217</v>
      </c>
      <c r="H580" s="296" t="s">
        <v>15855</v>
      </c>
      <c r="I580" s="297" t="s">
        <v>16346</v>
      </c>
      <c r="J580" s="297" t="s">
        <v>1729</v>
      </c>
      <c r="K580" s="298" t="s">
        <v>15855</v>
      </c>
      <c r="L580" s="298" t="s">
        <v>15855</v>
      </c>
      <c r="M580" s="298" t="s">
        <v>15855</v>
      </c>
      <c r="N580" s="298" t="s">
        <v>15855</v>
      </c>
      <c r="O580" s="298" t="s">
        <v>15855</v>
      </c>
      <c r="P580" s="299" t="s">
        <v>15857</v>
      </c>
      <c r="Q580" s="300" t="s">
        <v>15855</v>
      </c>
      <c r="R580" s="182" t="str">
        <f ca="1">IF(ISERROR($V580),"",OFFSET('Smelter Look-up'!$C$4,$V580-4,0)&amp;"")</f>
        <v>D Block Metals, LLC</v>
      </c>
      <c r="S580" s="181" t="str">
        <f t="shared" ca="1" si="77"/>
        <v>US</v>
      </c>
      <c r="T580" s="181" t="str">
        <f ca="1">IF(B580="","",IF(ISERROR(MATCH($J580,SorP!$B$1:$B$6226,0)),"",INDIRECT("'SorP'!$A$"&amp;MATCH($S580&amp;$J580,SorP!C:C,0))))</f>
        <v>US-NC</v>
      </c>
      <c r="U580" s="201"/>
      <c r="V580" s="226">
        <f>IF(C580="",NA(),IF(OR(C580="Smelter not listed",C580="Smelter not yet identified"),MATCH($B580&amp;$D580,'Smelter Look-up'!$J:$J,0),MATCH($B580&amp;$C580,'Smelter Look-up'!$J:$J,0)))</f>
        <v>336</v>
      </c>
      <c r="X580" s="227">
        <f t="shared" si="78"/>
        <v>0</v>
      </c>
      <c r="AB580" s="228" t="str">
        <f t="shared" si="79"/>
        <v>TantalumD Block Metals, LLC</v>
      </c>
    </row>
    <row r="581" spans="1:28" s="227" customFormat="1" ht="67.5">
      <c r="A581" s="301" t="s">
        <v>1384</v>
      </c>
      <c r="B581" s="293" t="s">
        <v>1121</v>
      </c>
      <c r="C581" s="294" t="s">
        <v>1383</v>
      </c>
      <c r="D581" s="295" t="s">
        <v>1383</v>
      </c>
      <c r="E581" s="293" t="s">
        <v>2415</v>
      </c>
      <c r="F581" s="293" t="s">
        <v>1384</v>
      </c>
      <c r="G581" s="293" t="s">
        <v>13217</v>
      </c>
      <c r="H581" s="296" t="s">
        <v>15855</v>
      </c>
      <c r="I581" s="297" t="s">
        <v>16346</v>
      </c>
      <c r="J581" s="297" t="s">
        <v>1729</v>
      </c>
      <c r="K581" s="298" t="s">
        <v>16347</v>
      </c>
      <c r="L581" s="298" t="s">
        <v>16348</v>
      </c>
      <c r="M581" s="298" t="s">
        <v>15869</v>
      </c>
      <c r="N581" s="298" t="s">
        <v>16349</v>
      </c>
      <c r="O581" s="298" t="s">
        <v>15871</v>
      </c>
      <c r="P581" s="299" t="s">
        <v>15857</v>
      </c>
      <c r="Q581" s="300" t="s">
        <v>15855</v>
      </c>
      <c r="R581" s="182" t="str">
        <f ca="1">IF(ISERROR($V581),"",OFFSET('Smelter Look-up'!$C$4,$V581-4,0)&amp;"")</f>
        <v>D Block Metals, LLC</v>
      </c>
      <c r="S581" s="181" t="str">
        <f t="shared" ref="S581" ca="1" si="80">IF(B581="","",IF(ISERROR(MATCH($E581,CL,0)),"Unknown",INDIRECT("'C'!$A$"&amp;MATCH($E581,CL,0)+1)))</f>
        <v>US</v>
      </c>
      <c r="T581" s="181" t="str">
        <f ca="1">IF(B581="","",IF(ISERROR(MATCH($J581,SorP!$B$1:$B$6226,0)),"",INDIRECT("'SorP'!$A$"&amp;MATCH($S581&amp;$J581,SorP!C:C,0))))</f>
        <v>US-NC</v>
      </c>
      <c r="U581" s="201"/>
      <c r="V581" s="226">
        <f>IF(C581="",NA(),IF(OR(C581="Smelter not listed",C581="Smelter not yet identified"),MATCH($B581&amp;$D581,'Smelter Look-up'!$J:$J,0),MATCH($B581&amp;$C581,'Smelter Look-up'!$J:$J,0)))</f>
        <v>336</v>
      </c>
      <c r="X581" s="227">
        <f t="shared" ref="X581" si="81">IF(AND(C581="Smelter not listed",OR(LEN(D581)=0,LEN(E581)=0)),1,0)</f>
        <v>0</v>
      </c>
      <c r="AB581" s="228" t="str">
        <f t="shared" ref="AB581" si="82">B581&amp;C581</f>
        <v>TantalumD Block Metals, LLC</v>
      </c>
    </row>
    <row r="582" spans="1:28" s="227" customFormat="1" ht="67.5">
      <c r="A582" s="301" t="s">
        <v>1384</v>
      </c>
      <c r="B582" s="293" t="s">
        <v>1121</v>
      </c>
      <c r="C582" s="294" t="s">
        <v>1383</v>
      </c>
      <c r="D582" s="295" t="s">
        <v>1383</v>
      </c>
      <c r="E582" s="293" t="s">
        <v>2415</v>
      </c>
      <c r="F582" s="293" t="s">
        <v>1384</v>
      </c>
      <c r="G582" s="293" t="s">
        <v>13217</v>
      </c>
      <c r="H582" s="296" t="s">
        <v>15855</v>
      </c>
      <c r="I582" s="297" t="s">
        <v>15802</v>
      </c>
      <c r="J582" s="297" t="s">
        <v>1729</v>
      </c>
      <c r="K582" s="298" t="s">
        <v>15855</v>
      </c>
      <c r="L582" s="298" t="s">
        <v>15855</v>
      </c>
      <c r="M582" s="298" t="s">
        <v>15855</v>
      </c>
      <c r="N582" s="298" t="s">
        <v>15855</v>
      </c>
      <c r="O582" s="298" t="s">
        <v>15876</v>
      </c>
      <c r="P582" s="299" t="s">
        <v>15857</v>
      </c>
      <c r="Q582" s="300" t="s">
        <v>15855</v>
      </c>
      <c r="R582" s="182" t="str">
        <f ca="1">IF(ISERROR($V582),"",OFFSET('Smelter Look-up'!$C$4,$V582-4,0)&amp;"")</f>
        <v>D Block Metals, LLC</v>
      </c>
      <c r="S582" s="181" t="str">
        <f ca="1">IF(B582="","",IF(ISERROR(MATCH($E582,CL,0)),"Unknown",INDIRECT("'C'!$A$"&amp;MATCH($E582,CL,0)+1)))</f>
        <v>US</v>
      </c>
      <c r="T582" s="181" t="str">
        <f ca="1">IF(B582="","",IF(ISERROR(MATCH($J582,SorP!$B$1:$B$6226,0)),"",INDIRECT("'SorP'!$A$"&amp;MATCH($S582&amp;$J582,SorP!C:C,0))))</f>
        <v>US-NC</v>
      </c>
      <c r="U582" s="201"/>
      <c r="V582" s="226">
        <f>IF(C582="",NA(),IF(OR(C582="Smelter not listed",C582="Smelter not yet identified"),MATCH($B582&amp;$D582,'Smelter Look-up'!$J:$J,0),MATCH($B582&amp;$C582,'Smelter Look-up'!$J:$J,0)))</f>
        <v>336</v>
      </c>
      <c r="X582" s="227">
        <f>IF(AND(C582="Smelter not listed",OR(LEN(D582)=0,LEN(E582)=0)),1,0)</f>
        <v>0</v>
      </c>
      <c r="AB582" s="228" t="str">
        <f>B582&amp;C582</f>
        <v>TantalumD Block Metals, LLC</v>
      </c>
    </row>
    <row r="583" spans="1:28" s="227" customFormat="1" ht="67.5">
      <c r="A583" s="301" t="s">
        <v>1384</v>
      </c>
      <c r="B583" s="293" t="s">
        <v>1121</v>
      </c>
      <c r="C583" s="294" t="s">
        <v>1383</v>
      </c>
      <c r="D583" s="295" t="s">
        <v>1383</v>
      </c>
      <c r="E583" s="293" t="s">
        <v>2415</v>
      </c>
      <c r="F583" s="293" t="s">
        <v>1384</v>
      </c>
      <c r="G583" s="293" t="s">
        <v>13217</v>
      </c>
      <c r="H583" s="302" t="s">
        <v>15880</v>
      </c>
      <c r="I583" s="297" t="s">
        <v>16346</v>
      </c>
      <c r="J583" s="297" t="s">
        <v>1729</v>
      </c>
      <c r="K583" s="298" t="s">
        <v>15855</v>
      </c>
      <c r="L583" s="298" t="s">
        <v>15855</v>
      </c>
      <c r="M583" s="298" t="s">
        <v>15855</v>
      </c>
      <c r="N583" s="298" t="s">
        <v>15855</v>
      </c>
      <c r="O583" s="298" t="s">
        <v>15855</v>
      </c>
      <c r="P583" s="299" t="s">
        <v>15857</v>
      </c>
      <c r="Q583" s="300" t="s">
        <v>15855</v>
      </c>
      <c r="R583" s="182" t="str">
        <f ca="1">IF(ISERROR($V583),"",OFFSET('Smelter Look-up'!$C$4,$V583-4,0)&amp;"")</f>
        <v>D Block Metals, LLC</v>
      </c>
      <c r="S583" s="181" t="str">
        <f ca="1">IF(B583="","",IF(ISERROR(MATCH($E583,CL,0)),"Unknown",INDIRECT("'C'!$A$"&amp;MATCH($E583,CL,0)+1)))</f>
        <v>US</v>
      </c>
      <c r="T583" s="181" t="str">
        <f ca="1">IF(B583="","",IF(ISERROR(MATCH($J583,SorP!$B$1:$B$6226,0)),"",INDIRECT("'SorP'!$A$"&amp;MATCH($S583&amp;$J583,SorP!C:C,0))))</f>
        <v>US-NC</v>
      </c>
      <c r="U583" s="201"/>
      <c r="V583" s="226">
        <f>IF(C583="",NA(),IF(OR(C583="Smelter not listed",C583="Smelter not yet identified"),MATCH($B583&amp;$D583,'Smelter Look-up'!$J:$J,0),MATCH($B583&amp;$C583,'Smelter Look-up'!$J:$J,0)))</f>
        <v>336</v>
      </c>
      <c r="X583" s="227">
        <f>IF(AND(C583="Smelter not listed",OR(LEN(D583)=0,LEN(E583)=0)),1,0)</f>
        <v>0</v>
      </c>
      <c r="AB583" s="228" t="str">
        <f>B583&amp;C583</f>
        <v>TantalumD Block Metals, LLC</v>
      </c>
    </row>
    <row r="584" spans="1:28" s="227" customFormat="1" ht="67.5">
      <c r="A584" s="301" t="s">
        <v>1384</v>
      </c>
      <c r="B584" s="293" t="s">
        <v>1121</v>
      </c>
      <c r="C584" s="294" t="s">
        <v>1383</v>
      </c>
      <c r="D584" s="295" t="s">
        <v>1383</v>
      </c>
      <c r="E584" s="293" t="s">
        <v>2415</v>
      </c>
      <c r="F584" s="293" t="s">
        <v>1384</v>
      </c>
      <c r="G584" s="293" t="s">
        <v>13217</v>
      </c>
      <c r="H584" s="296" t="s">
        <v>16350</v>
      </c>
      <c r="I584" s="297" t="s">
        <v>16346</v>
      </c>
      <c r="J584" s="297" t="s">
        <v>1729</v>
      </c>
      <c r="K584" s="298" t="s">
        <v>16347</v>
      </c>
      <c r="L584" s="298" t="s">
        <v>16348</v>
      </c>
      <c r="M584" s="298" t="s">
        <v>16343</v>
      </c>
      <c r="N584" s="298" t="s">
        <v>16344</v>
      </c>
      <c r="O584" s="298" t="s">
        <v>16344</v>
      </c>
      <c r="P584" s="299" t="s">
        <v>15857</v>
      </c>
      <c r="Q584" s="300" t="s">
        <v>16345</v>
      </c>
      <c r="R584" s="182" t="str">
        <f ca="1">IF(ISERROR($V584),"",OFFSET('Smelter Look-up'!$C$4,$V584-4,0)&amp;"")</f>
        <v>D Block Metals, LLC</v>
      </c>
      <c r="S584" s="181" t="str">
        <f ca="1">IF(B584="","",IF(ISERROR(MATCH($E584,CL,0)),"Unknown",INDIRECT("'C'!$A$"&amp;MATCH($E584,CL,0)+1)))</f>
        <v>US</v>
      </c>
      <c r="T584" s="181" t="str">
        <f ca="1">IF(B584="","",IF(ISERROR(MATCH($J584,SorP!$B$1:$B$6226,0)),"",INDIRECT("'SorP'!$A$"&amp;MATCH($S584&amp;$J584,SorP!C:C,0))))</f>
        <v>US-NC</v>
      </c>
      <c r="U584" s="201"/>
      <c r="V584" s="226">
        <f>IF(C584="",NA(),IF(OR(C584="Smelter not listed",C584="Smelter not yet identified"),MATCH($B584&amp;$D584,'Smelter Look-up'!$J:$J,0),MATCH($B584&amp;$C584,'Smelter Look-up'!$J:$J,0)))</f>
        <v>336</v>
      </c>
      <c r="X584" s="227">
        <f>IF(AND(C584="Smelter not listed",OR(LEN(D584)=0,LEN(E584)=0)),1,0)</f>
        <v>0</v>
      </c>
      <c r="AB584" s="228" t="str">
        <f>B584&amp;C584</f>
        <v>TantalumD Block Metals, LLC</v>
      </c>
    </row>
    <row r="585" spans="1:28" s="227" customFormat="1" ht="67.5">
      <c r="A585" s="301" t="s">
        <v>1384</v>
      </c>
      <c r="B585" s="293" t="s">
        <v>1121</v>
      </c>
      <c r="C585" s="294" t="s">
        <v>1383</v>
      </c>
      <c r="D585" s="295" t="s">
        <v>1383</v>
      </c>
      <c r="E585" s="293" t="s">
        <v>2415</v>
      </c>
      <c r="F585" s="293" t="s">
        <v>1384</v>
      </c>
      <c r="G585" s="293" t="s">
        <v>13217</v>
      </c>
      <c r="H585" s="296" t="s">
        <v>16351</v>
      </c>
      <c r="I585" s="297" t="s">
        <v>16346</v>
      </c>
      <c r="J585" s="297" t="s">
        <v>1729</v>
      </c>
      <c r="K585" s="298" t="s">
        <v>16347</v>
      </c>
      <c r="L585" s="298" t="s">
        <v>16352</v>
      </c>
      <c r="M585" s="298" t="s">
        <v>487</v>
      </c>
      <c r="N585" s="298" t="s">
        <v>16353</v>
      </c>
      <c r="O585" s="298" t="s">
        <v>16096</v>
      </c>
      <c r="P585" s="299" t="s">
        <v>15875</v>
      </c>
      <c r="Q585" s="300" t="s">
        <v>15855</v>
      </c>
      <c r="R585" s="182" t="str">
        <f ca="1">IF(ISERROR($V585),"",OFFSET('Smelter Look-up'!$C$4,$V585-4,0)&amp;"")</f>
        <v>D Block Metals, LLC</v>
      </c>
      <c r="S585" s="181" t="str">
        <f ca="1">IF(B585="","",IF(ISERROR(MATCH($E585,CL,0)),"Unknown",INDIRECT("'C'!$A$"&amp;MATCH($E585,CL,0)+1)))</f>
        <v>US</v>
      </c>
      <c r="T585" s="181" t="str">
        <f ca="1">IF(B585="","",IF(ISERROR(MATCH($J585,SorP!$B$1:$B$6226,0)),"",INDIRECT("'SorP'!$A$"&amp;MATCH($S585&amp;$J585,SorP!C:C,0))))</f>
        <v>US-NC</v>
      </c>
      <c r="U585" s="201"/>
      <c r="V585" s="226">
        <f>IF(C585="",NA(),IF(OR(C585="Smelter not listed",C585="Smelter not yet identified"),MATCH($B585&amp;$D585,'Smelter Look-up'!$J:$J,0),MATCH($B585&amp;$C585,'Smelter Look-up'!$J:$J,0)))</f>
        <v>336</v>
      </c>
      <c r="X585" s="227">
        <f>IF(AND(C585="Smelter not listed",OR(LEN(D585)=0,LEN(E585)=0)),1,0)</f>
        <v>0</v>
      </c>
      <c r="AB585" s="228" t="str">
        <f>B585&amp;C585</f>
        <v>TantalumD Block Metals, LLC</v>
      </c>
    </row>
    <row r="586" spans="1:28" s="227" customFormat="1" ht="67.5">
      <c r="A586" s="301" t="s">
        <v>741</v>
      </c>
      <c r="B586" s="293" t="s">
        <v>1121</v>
      </c>
      <c r="C586" s="294" t="s">
        <v>43</v>
      </c>
      <c r="D586" s="295" t="s">
        <v>43</v>
      </c>
      <c r="E586" s="293" t="s">
        <v>1090</v>
      </c>
      <c r="F586" s="293" t="s">
        <v>741</v>
      </c>
      <c r="G586" s="293" t="s">
        <v>13217</v>
      </c>
      <c r="H586" s="296" t="s">
        <v>15855</v>
      </c>
      <c r="I586" s="297" t="s">
        <v>1705</v>
      </c>
      <c r="J586" s="297" t="s">
        <v>13601</v>
      </c>
      <c r="K586" s="298" t="s">
        <v>15855</v>
      </c>
      <c r="L586" s="298" t="s">
        <v>15855</v>
      </c>
      <c r="M586" s="298" t="s">
        <v>15855</v>
      </c>
      <c r="N586" s="298" t="s">
        <v>15855</v>
      </c>
      <c r="O586" s="298" t="s">
        <v>15855</v>
      </c>
      <c r="P586" s="299" t="s">
        <v>15857</v>
      </c>
      <c r="Q586" s="300" t="s">
        <v>15855</v>
      </c>
      <c r="R586" s="182" t="str">
        <f ca="1">IF(ISERROR($V586),"",OFFSET('Smelter Look-up'!$C$4,$V586-4,0)&amp;"")</f>
        <v>F&amp;X Electro-Materials Ltd.</v>
      </c>
      <c r="S586" s="181" t="str">
        <f t="shared" ref="S586" ca="1" si="83">IF(B586="","",IF(ISERROR(MATCH($E586,CL,0)),"Unknown",INDIRECT("'C'!$A$"&amp;MATCH($E586,CL,0)+1)))</f>
        <v>CN</v>
      </c>
      <c r="T586" s="181" t="str">
        <f ca="1">IF(B586="","",IF(ISERROR(MATCH($J586,SorP!$B$1:$B$6226,0)),"",INDIRECT("'SorP'!$A$"&amp;MATCH($S586&amp;$J586,SorP!C:C,0))))</f>
        <v>CN-GD</v>
      </c>
      <c r="U586" s="201"/>
      <c r="V586" s="226">
        <f>IF(C586="",NA(),IF(OR(C586="Smelter not listed",C586="Smelter not yet identified"),MATCH($B586&amp;$D586,'Smelter Look-up'!$J:$J,0),MATCH($B586&amp;$C586,'Smelter Look-up'!$J:$J,0)))</f>
        <v>338</v>
      </c>
      <c r="X586" s="227">
        <f t="shared" ref="X586" si="84">IF(AND(C586="Smelter not listed",OR(LEN(D586)=0,LEN(E586)=0)),1,0)</f>
        <v>0</v>
      </c>
      <c r="AB586" s="228" t="str">
        <f t="shared" ref="AB586" si="85">B586&amp;C586</f>
        <v>TantalumF&amp;X Electro-Materials Ltd.</v>
      </c>
    </row>
    <row r="587" spans="1:28" s="227" customFormat="1" ht="67.5">
      <c r="A587" s="301" t="s">
        <v>741</v>
      </c>
      <c r="B587" s="293" t="s">
        <v>1121</v>
      </c>
      <c r="C587" s="294" t="s">
        <v>43</v>
      </c>
      <c r="D587" s="295" t="s">
        <v>43</v>
      </c>
      <c r="E587" s="293" t="s">
        <v>1090</v>
      </c>
      <c r="F587" s="293" t="s">
        <v>741</v>
      </c>
      <c r="G587" s="293" t="s">
        <v>13217</v>
      </c>
      <c r="H587" s="296" t="s">
        <v>15855</v>
      </c>
      <c r="I587" s="297" t="s">
        <v>1705</v>
      </c>
      <c r="J587" s="297" t="s">
        <v>13601</v>
      </c>
      <c r="K587" s="298" t="s">
        <v>15855</v>
      </c>
      <c r="L587" s="298" t="s">
        <v>15855</v>
      </c>
      <c r="M587" s="298" t="s">
        <v>15855</v>
      </c>
      <c r="N587" s="298" t="s">
        <v>15855</v>
      </c>
      <c r="O587" s="298" t="s">
        <v>16354</v>
      </c>
      <c r="P587" s="299" t="s">
        <v>15857</v>
      </c>
      <c r="Q587" s="300" t="s">
        <v>16355</v>
      </c>
      <c r="R587" s="182" t="str">
        <f ca="1">IF(ISERROR($V587),"",OFFSET('Smelter Look-up'!$C$4,$V587-4,0)&amp;"")</f>
        <v>F&amp;X Electro-Materials Ltd.</v>
      </c>
      <c r="S587" s="181" t="str">
        <f t="shared" ref="S587:S634" ca="1" si="86">IF(B587="","",IF(ISERROR(MATCH($E587,CL,0)),"Unknown",INDIRECT("'C'!$A$"&amp;MATCH($E587,CL,0)+1)))</f>
        <v>CN</v>
      </c>
      <c r="T587" s="181" t="str">
        <f ca="1">IF(B587="","",IF(ISERROR(MATCH($J587,SorP!$B$1:$B$6226,0)),"",INDIRECT("'SorP'!$A$"&amp;MATCH($S587&amp;$J587,SorP!C:C,0))))</f>
        <v>CN-GD</v>
      </c>
      <c r="U587" s="201"/>
      <c r="V587" s="226">
        <f>IF(C587="",NA(),IF(OR(C587="Smelter not listed",C587="Smelter not yet identified"),MATCH($B587&amp;$D587,'Smelter Look-up'!$J:$J,0),MATCH($B587&amp;$C587,'Smelter Look-up'!$J:$J,0)))</f>
        <v>338</v>
      </c>
      <c r="X587" s="227">
        <f t="shared" ref="X587:X634" si="87">IF(AND(C587="Smelter not listed",OR(LEN(D587)=0,LEN(E587)=0)),1,0)</f>
        <v>0</v>
      </c>
      <c r="AB587" s="228" t="str">
        <f t="shared" ref="AB587:AB634" si="88">B587&amp;C587</f>
        <v>TantalumF&amp;X Electro-Materials Ltd.</v>
      </c>
    </row>
    <row r="588" spans="1:28" s="227" customFormat="1" ht="67.5">
      <c r="A588" s="301" t="s">
        <v>741</v>
      </c>
      <c r="B588" s="293" t="s">
        <v>1121</v>
      </c>
      <c r="C588" s="294" t="s">
        <v>43</v>
      </c>
      <c r="D588" s="295" t="s">
        <v>43</v>
      </c>
      <c r="E588" s="293" t="s">
        <v>1090</v>
      </c>
      <c r="F588" s="293" t="s">
        <v>741</v>
      </c>
      <c r="G588" s="293" t="s">
        <v>13217</v>
      </c>
      <c r="H588" s="296" t="s">
        <v>15855</v>
      </c>
      <c r="I588" s="297" t="s">
        <v>1705</v>
      </c>
      <c r="J588" s="297" t="s">
        <v>13601</v>
      </c>
      <c r="K588" s="298" t="s">
        <v>15855</v>
      </c>
      <c r="L588" s="298" t="s">
        <v>15855</v>
      </c>
      <c r="M588" s="298" t="s">
        <v>15855</v>
      </c>
      <c r="N588" s="298" t="s">
        <v>15855</v>
      </c>
      <c r="O588" s="298" t="s">
        <v>16356</v>
      </c>
      <c r="P588" s="299" t="s">
        <v>15857</v>
      </c>
      <c r="Q588" s="300" t="s">
        <v>15855</v>
      </c>
      <c r="R588" s="182" t="str">
        <f ca="1">IF(ISERROR($V588),"",OFFSET('Smelter Look-up'!$C$4,$V588-4,0)&amp;"")</f>
        <v>F&amp;X Electro-Materials Ltd.</v>
      </c>
      <c r="S588" s="181" t="str">
        <f t="shared" ca="1" si="86"/>
        <v>CN</v>
      </c>
      <c r="T588" s="181" t="str">
        <f ca="1">IF(B588="","",IF(ISERROR(MATCH($J588,SorP!$B$1:$B$6226,0)),"",INDIRECT("'SorP'!$A$"&amp;MATCH($S588&amp;$J588,SorP!C:C,0))))</f>
        <v>CN-GD</v>
      </c>
      <c r="U588" s="201"/>
      <c r="V588" s="226">
        <f>IF(C588="",NA(),IF(OR(C588="Smelter not listed",C588="Smelter not yet identified"),MATCH($B588&amp;$D588,'Smelter Look-up'!$J:$J,0),MATCH($B588&amp;$C588,'Smelter Look-up'!$J:$J,0)))</f>
        <v>338</v>
      </c>
      <c r="X588" s="227">
        <f t="shared" si="87"/>
        <v>0</v>
      </c>
      <c r="AB588" s="228" t="str">
        <f t="shared" si="88"/>
        <v>TantalumF&amp;X Electro-Materials Ltd.</v>
      </c>
    </row>
    <row r="589" spans="1:28" s="227" customFormat="1" ht="67.5">
      <c r="A589" s="301" t="s">
        <v>741</v>
      </c>
      <c r="B589" s="293" t="s">
        <v>1121</v>
      </c>
      <c r="C589" s="294" t="s">
        <v>43</v>
      </c>
      <c r="D589" s="295" t="s">
        <v>43</v>
      </c>
      <c r="E589" s="293" t="s">
        <v>1090</v>
      </c>
      <c r="F589" s="293" t="s">
        <v>741</v>
      </c>
      <c r="G589" s="293" t="s">
        <v>13217</v>
      </c>
      <c r="H589" s="296" t="s">
        <v>15855</v>
      </c>
      <c r="I589" s="297" t="s">
        <v>1705</v>
      </c>
      <c r="J589" s="297" t="s">
        <v>13601</v>
      </c>
      <c r="K589" s="298" t="s">
        <v>16357</v>
      </c>
      <c r="L589" s="298" t="s">
        <v>16358</v>
      </c>
      <c r="M589" s="298" t="s">
        <v>15892</v>
      </c>
      <c r="N589" s="298" t="s">
        <v>16349</v>
      </c>
      <c r="O589" s="298" t="s">
        <v>16359</v>
      </c>
      <c r="P589" s="299" t="s">
        <v>15857</v>
      </c>
      <c r="Q589" s="300" t="s">
        <v>15855</v>
      </c>
      <c r="R589" s="182" t="str">
        <f ca="1">IF(ISERROR($V589),"",OFFSET('Smelter Look-up'!$C$4,$V589-4,0)&amp;"")</f>
        <v>F&amp;X Electro-Materials Ltd.</v>
      </c>
      <c r="S589" s="181" t="str">
        <f t="shared" ca="1" si="86"/>
        <v>CN</v>
      </c>
      <c r="T589" s="181" t="str">
        <f ca="1">IF(B589="","",IF(ISERROR(MATCH($J589,SorP!$B$1:$B$6226,0)),"",INDIRECT("'SorP'!$A$"&amp;MATCH($S589&amp;$J589,SorP!C:C,0))))</f>
        <v>CN-GD</v>
      </c>
      <c r="U589" s="201"/>
      <c r="V589" s="226">
        <f>IF(C589="",NA(),IF(OR(C589="Smelter not listed",C589="Smelter not yet identified"),MATCH($B589&amp;$D589,'Smelter Look-up'!$J:$J,0),MATCH($B589&amp;$C589,'Smelter Look-up'!$J:$J,0)))</f>
        <v>338</v>
      </c>
      <c r="X589" s="227">
        <f t="shared" si="87"/>
        <v>0</v>
      </c>
      <c r="AB589" s="228" t="str">
        <f t="shared" si="88"/>
        <v>TantalumF&amp;X Electro-Materials Ltd.</v>
      </c>
    </row>
    <row r="590" spans="1:28" s="227" customFormat="1" ht="67.5">
      <c r="A590" s="301" t="s">
        <v>741</v>
      </c>
      <c r="B590" s="293" t="s">
        <v>1121</v>
      </c>
      <c r="C590" s="294" t="s">
        <v>43</v>
      </c>
      <c r="D590" s="295" t="s">
        <v>43</v>
      </c>
      <c r="E590" s="293" t="s">
        <v>1090</v>
      </c>
      <c r="F590" s="293" t="s">
        <v>741</v>
      </c>
      <c r="G590" s="293" t="s">
        <v>13217</v>
      </c>
      <c r="H590" s="302" t="s">
        <v>15880</v>
      </c>
      <c r="I590" s="297" t="s">
        <v>1705</v>
      </c>
      <c r="J590" s="297" t="s">
        <v>13601</v>
      </c>
      <c r="K590" s="298" t="s">
        <v>15855</v>
      </c>
      <c r="L590" s="298" t="s">
        <v>15855</v>
      </c>
      <c r="M590" s="298" t="s">
        <v>15855</v>
      </c>
      <c r="N590" s="298" t="s">
        <v>15855</v>
      </c>
      <c r="O590" s="298" t="s">
        <v>15855</v>
      </c>
      <c r="P590" s="299" t="s">
        <v>15857</v>
      </c>
      <c r="Q590" s="300" t="s">
        <v>15855</v>
      </c>
      <c r="R590" s="182" t="str">
        <f ca="1">IF(ISERROR($V590),"",OFFSET('Smelter Look-up'!$C$4,$V590-4,0)&amp;"")</f>
        <v>F&amp;X Electro-Materials Ltd.</v>
      </c>
      <c r="S590" s="181" t="str">
        <f t="shared" ca="1" si="86"/>
        <v>CN</v>
      </c>
      <c r="T590" s="181" t="str">
        <f ca="1">IF(B590="","",IF(ISERROR(MATCH($J590,SorP!$B$1:$B$6226,0)),"",INDIRECT("'SorP'!$A$"&amp;MATCH($S590&amp;$J590,SorP!C:C,0))))</f>
        <v>CN-GD</v>
      </c>
      <c r="U590" s="201"/>
      <c r="V590" s="226">
        <f>IF(C590="",NA(),IF(OR(C590="Smelter not listed",C590="Smelter not yet identified"),MATCH($B590&amp;$D590,'Smelter Look-up'!$J:$J,0),MATCH($B590&amp;$C590,'Smelter Look-up'!$J:$J,0)))</f>
        <v>338</v>
      </c>
      <c r="X590" s="227">
        <f t="shared" si="87"/>
        <v>0</v>
      </c>
      <c r="AB590" s="228" t="str">
        <f t="shared" si="88"/>
        <v>TantalumF&amp;X Electro-Materials Ltd.</v>
      </c>
    </row>
    <row r="591" spans="1:28" s="227" customFormat="1" ht="67.5">
      <c r="A591" s="301" t="s">
        <v>741</v>
      </c>
      <c r="B591" s="293" t="s">
        <v>1121</v>
      </c>
      <c r="C591" s="294" t="s">
        <v>43</v>
      </c>
      <c r="D591" s="295" t="s">
        <v>43</v>
      </c>
      <c r="E591" s="293" t="s">
        <v>1090</v>
      </c>
      <c r="F591" s="293" t="s">
        <v>741</v>
      </c>
      <c r="G591" s="293" t="s">
        <v>13217</v>
      </c>
      <c r="H591" s="296" t="s">
        <v>16360</v>
      </c>
      <c r="I591" s="297" t="s">
        <v>1705</v>
      </c>
      <c r="J591" s="297" t="s">
        <v>13601</v>
      </c>
      <c r="K591" s="298" t="s">
        <v>16357</v>
      </c>
      <c r="L591" s="298" t="s">
        <v>16358</v>
      </c>
      <c r="M591" s="298" t="s">
        <v>16343</v>
      </c>
      <c r="N591" s="298" t="s">
        <v>16344</v>
      </c>
      <c r="O591" s="298" t="s">
        <v>16344</v>
      </c>
      <c r="P591" s="299" t="s">
        <v>15857</v>
      </c>
      <c r="Q591" s="300" t="s">
        <v>16345</v>
      </c>
      <c r="R591" s="182" t="str">
        <f ca="1">IF(ISERROR($V591),"",OFFSET('Smelter Look-up'!$C$4,$V591-4,0)&amp;"")</f>
        <v>F&amp;X Electro-Materials Ltd.</v>
      </c>
      <c r="S591" s="181" t="str">
        <f t="shared" ca="1" si="86"/>
        <v>CN</v>
      </c>
      <c r="T591" s="181" t="str">
        <f ca="1">IF(B591="","",IF(ISERROR(MATCH($J591,SorP!$B$1:$B$6226,0)),"",INDIRECT("'SorP'!$A$"&amp;MATCH($S591&amp;$J591,SorP!C:C,0))))</f>
        <v>CN-GD</v>
      </c>
      <c r="U591" s="201"/>
      <c r="V591" s="226">
        <f>IF(C591="",NA(),IF(OR(C591="Smelter not listed",C591="Smelter not yet identified"),MATCH($B591&amp;$D591,'Smelter Look-up'!$J:$J,0),MATCH($B591&amp;$C591,'Smelter Look-up'!$J:$J,0)))</f>
        <v>338</v>
      </c>
      <c r="X591" s="227">
        <f t="shared" si="87"/>
        <v>0</v>
      </c>
      <c r="AB591" s="228" t="str">
        <f t="shared" si="88"/>
        <v>TantalumF&amp;X Electro-Materials Ltd.</v>
      </c>
    </row>
    <row r="592" spans="1:28" s="227" customFormat="1" ht="67.5">
      <c r="A592" s="301" t="s">
        <v>1385</v>
      </c>
      <c r="B592" s="293" t="s">
        <v>1121</v>
      </c>
      <c r="C592" s="294" t="s">
        <v>2152</v>
      </c>
      <c r="D592" s="295" t="s">
        <v>2152</v>
      </c>
      <c r="E592" s="293" t="s">
        <v>1090</v>
      </c>
      <c r="F592" s="293" t="s">
        <v>1385</v>
      </c>
      <c r="G592" s="293" t="s">
        <v>13217</v>
      </c>
      <c r="H592" s="296" t="s">
        <v>15855</v>
      </c>
      <c r="I592" s="297" t="s">
        <v>1720</v>
      </c>
      <c r="J592" s="297" t="s">
        <v>13600</v>
      </c>
      <c r="K592" s="298" t="s">
        <v>15855</v>
      </c>
      <c r="L592" s="298" t="s">
        <v>15855</v>
      </c>
      <c r="M592" s="298" t="s">
        <v>15855</v>
      </c>
      <c r="N592" s="298" t="s">
        <v>15855</v>
      </c>
      <c r="O592" s="298" t="s">
        <v>15855</v>
      </c>
      <c r="P592" s="299" t="s">
        <v>15857</v>
      </c>
      <c r="Q592" s="300" t="s">
        <v>15855</v>
      </c>
      <c r="R592" s="182" t="str">
        <f ca="1">IF(ISERROR($V592),"",OFFSET('Smelter Look-up'!$C$4,$V592-4,0)&amp;"")</f>
        <v>FIR Metals &amp; Resource Ltd.</v>
      </c>
      <c r="S592" s="181" t="str">
        <f t="shared" ca="1" si="86"/>
        <v>CN</v>
      </c>
      <c r="T592" s="181" t="str">
        <f ca="1">IF(B592="","",IF(ISERROR(MATCH($J592,SorP!$B$1:$B$6226,0)),"",INDIRECT("'SorP'!$A$"&amp;MATCH($S592&amp;$J592,SorP!C:C,0))))</f>
        <v>CN-HN</v>
      </c>
      <c r="U592" s="201"/>
      <c r="V592" s="226">
        <f>IF(C592="",NA(),IF(OR(C592="Smelter not listed",C592="Smelter not yet identified"),MATCH($B592&amp;$D592,'Smelter Look-up'!$J:$J,0),MATCH($B592&amp;$C592,'Smelter Look-up'!$J:$J,0)))</f>
        <v>339</v>
      </c>
      <c r="X592" s="227">
        <f t="shared" si="87"/>
        <v>0</v>
      </c>
      <c r="AB592" s="228" t="str">
        <f t="shared" si="88"/>
        <v>TantalumFIR Metals &amp; Resource Ltd.</v>
      </c>
    </row>
    <row r="593" spans="1:28" s="227" customFormat="1" ht="67.5">
      <c r="A593" s="301" t="s">
        <v>1385</v>
      </c>
      <c r="B593" s="293" t="s">
        <v>1121</v>
      </c>
      <c r="C593" s="294" t="s">
        <v>2152</v>
      </c>
      <c r="D593" s="295" t="s">
        <v>2152</v>
      </c>
      <c r="E593" s="293" t="s">
        <v>1090</v>
      </c>
      <c r="F593" s="293" t="s">
        <v>1385</v>
      </c>
      <c r="G593" s="293" t="s">
        <v>13217</v>
      </c>
      <c r="H593" s="296" t="s">
        <v>15855</v>
      </c>
      <c r="I593" s="297" t="s">
        <v>1720</v>
      </c>
      <c r="J593" s="297" t="s">
        <v>13600</v>
      </c>
      <c r="K593" s="298" t="s">
        <v>15855</v>
      </c>
      <c r="L593" s="298" t="s">
        <v>15855</v>
      </c>
      <c r="M593" s="298" t="s">
        <v>15855</v>
      </c>
      <c r="N593" s="298" t="s">
        <v>15855</v>
      </c>
      <c r="O593" s="298" t="s">
        <v>15925</v>
      </c>
      <c r="P593" s="299" t="s">
        <v>15857</v>
      </c>
      <c r="Q593" s="300" t="s">
        <v>15855</v>
      </c>
      <c r="R593" s="182" t="str">
        <f ca="1">IF(ISERROR($V593),"",OFFSET('Smelter Look-up'!$C$4,$V593-4,0)&amp;"")</f>
        <v>FIR Metals &amp; Resource Ltd.</v>
      </c>
      <c r="S593" s="181" t="str">
        <f t="shared" ca="1" si="86"/>
        <v>CN</v>
      </c>
      <c r="T593" s="181" t="str">
        <f ca="1">IF(B593="","",IF(ISERROR(MATCH($J593,SorP!$B$1:$B$6226,0)),"",INDIRECT("'SorP'!$A$"&amp;MATCH($S593&amp;$J593,SorP!C:C,0))))</f>
        <v>CN-HN</v>
      </c>
      <c r="U593" s="201"/>
      <c r="V593" s="226">
        <f>IF(C593="",NA(),IF(OR(C593="Smelter not listed",C593="Smelter not yet identified"),MATCH($B593&amp;$D593,'Smelter Look-up'!$J:$J,0),MATCH($B593&amp;$C593,'Smelter Look-up'!$J:$J,0)))</f>
        <v>339</v>
      </c>
      <c r="X593" s="227">
        <f t="shared" si="87"/>
        <v>0</v>
      </c>
      <c r="AB593" s="228" t="str">
        <f t="shared" si="88"/>
        <v>TantalumFIR Metals &amp; Resource Ltd.</v>
      </c>
    </row>
    <row r="594" spans="1:28" s="227" customFormat="1" ht="67.5">
      <c r="A594" s="301" t="s">
        <v>1385</v>
      </c>
      <c r="B594" s="293" t="s">
        <v>1121</v>
      </c>
      <c r="C594" s="294" t="s">
        <v>2152</v>
      </c>
      <c r="D594" s="295" t="s">
        <v>2152</v>
      </c>
      <c r="E594" s="293" t="s">
        <v>1090</v>
      </c>
      <c r="F594" s="293" t="s">
        <v>1385</v>
      </c>
      <c r="G594" s="293" t="s">
        <v>13217</v>
      </c>
      <c r="H594" s="296" t="s">
        <v>15855</v>
      </c>
      <c r="I594" s="297" t="s">
        <v>1720</v>
      </c>
      <c r="J594" s="297" t="s">
        <v>13600</v>
      </c>
      <c r="K594" s="298" t="s">
        <v>16361</v>
      </c>
      <c r="L594" s="298" t="s">
        <v>16362</v>
      </c>
      <c r="M594" s="298" t="s">
        <v>15869</v>
      </c>
      <c r="N594" s="298" t="s">
        <v>16349</v>
      </c>
      <c r="O594" s="298" t="s">
        <v>15871</v>
      </c>
      <c r="P594" s="299" t="s">
        <v>15857</v>
      </c>
      <c r="Q594" s="300" t="s">
        <v>15855</v>
      </c>
      <c r="R594" s="182" t="str">
        <f ca="1">IF(ISERROR($V594),"",OFFSET('Smelter Look-up'!$C$4,$V594-4,0)&amp;"")</f>
        <v>FIR Metals &amp; Resource Ltd.</v>
      </c>
      <c r="S594" s="181" t="str">
        <f t="shared" ca="1" si="86"/>
        <v>CN</v>
      </c>
      <c r="T594" s="181" t="str">
        <f ca="1">IF(B594="","",IF(ISERROR(MATCH($J594,SorP!$B$1:$B$6226,0)),"",INDIRECT("'SorP'!$A$"&amp;MATCH($S594&amp;$J594,SorP!C:C,0))))</f>
        <v>CN-HN</v>
      </c>
      <c r="U594" s="201"/>
      <c r="V594" s="226">
        <f>IF(C594="",NA(),IF(OR(C594="Smelter not listed",C594="Smelter not yet identified"),MATCH($B594&amp;$D594,'Smelter Look-up'!$J:$J,0),MATCH($B594&amp;$C594,'Smelter Look-up'!$J:$J,0)))</f>
        <v>339</v>
      </c>
      <c r="X594" s="227">
        <f t="shared" si="87"/>
        <v>0</v>
      </c>
      <c r="AB594" s="228" t="str">
        <f t="shared" si="88"/>
        <v>TantalumFIR Metals &amp; Resource Ltd.</v>
      </c>
    </row>
    <row r="595" spans="1:28" s="227" customFormat="1" ht="67.5">
      <c r="A595" s="301" t="s">
        <v>1385</v>
      </c>
      <c r="B595" s="293" t="s">
        <v>1121</v>
      </c>
      <c r="C595" s="294" t="s">
        <v>2152</v>
      </c>
      <c r="D595" s="295" t="s">
        <v>2152</v>
      </c>
      <c r="E595" s="293" t="s">
        <v>1090</v>
      </c>
      <c r="F595" s="293" t="s">
        <v>1385</v>
      </c>
      <c r="G595" s="293" t="s">
        <v>13217</v>
      </c>
      <c r="H595" s="302" t="s">
        <v>15880</v>
      </c>
      <c r="I595" s="297" t="s">
        <v>1720</v>
      </c>
      <c r="J595" s="297" t="s">
        <v>13600</v>
      </c>
      <c r="K595" s="298" t="s">
        <v>15855</v>
      </c>
      <c r="L595" s="298" t="s">
        <v>15855</v>
      </c>
      <c r="M595" s="298" t="s">
        <v>15855</v>
      </c>
      <c r="N595" s="298" t="s">
        <v>15855</v>
      </c>
      <c r="O595" s="298" t="s">
        <v>15855</v>
      </c>
      <c r="P595" s="299" t="s">
        <v>15857</v>
      </c>
      <c r="Q595" s="300" t="s">
        <v>15855</v>
      </c>
      <c r="R595" s="182" t="str">
        <f ca="1">IF(ISERROR($V595),"",OFFSET('Smelter Look-up'!$C$4,$V595-4,0)&amp;"")</f>
        <v>FIR Metals &amp; Resource Ltd.</v>
      </c>
      <c r="S595" s="181" t="str">
        <f t="shared" ca="1" si="86"/>
        <v>CN</v>
      </c>
      <c r="T595" s="181" t="str">
        <f ca="1">IF(B595="","",IF(ISERROR(MATCH($J595,SorP!$B$1:$B$6226,0)),"",INDIRECT("'SorP'!$A$"&amp;MATCH($S595&amp;$J595,SorP!C:C,0))))</f>
        <v>CN-HN</v>
      </c>
      <c r="U595" s="201"/>
      <c r="V595" s="226">
        <f>IF(C595="",NA(),IF(OR(C595="Smelter not listed",C595="Smelter not yet identified"),MATCH($B595&amp;$D595,'Smelter Look-up'!$J:$J,0),MATCH($B595&amp;$C595,'Smelter Look-up'!$J:$J,0)))</f>
        <v>339</v>
      </c>
      <c r="X595" s="227">
        <f t="shared" si="87"/>
        <v>0</v>
      </c>
      <c r="AB595" s="228" t="str">
        <f t="shared" si="88"/>
        <v>TantalumFIR Metals &amp; Resource Ltd.</v>
      </c>
    </row>
    <row r="596" spans="1:28" s="227" customFormat="1" ht="81">
      <c r="A596" s="301" t="s">
        <v>1385</v>
      </c>
      <c r="B596" s="293" t="s">
        <v>1121</v>
      </c>
      <c r="C596" s="294" t="s">
        <v>2152</v>
      </c>
      <c r="D596" s="295" t="s">
        <v>2152</v>
      </c>
      <c r="E596" s="293" t="s">
        <v>1090</v>
      </c>
      <c r="F596" s="293" t="s">
        <v>1385</v>
      </c>
      <c r="G596" s="293" t="s">
        <v>13217</v>
      </c>
      <c r="H596" s="296" t="s">
        <v>16363</v>
      </c>
      <c r="I596" s="297" t="s">
        <v>1720</v>
      </c>
      <c r="J596" s="297" t="s">
        <v>13600</v>
      </c>
      <c r="K596" s="298" t="s">
        <v>16361</v>
      </c>
      <c r="L596" s="298" t="s">
        <v>16362</v>
      </c>
      <c r="M596" s="298" t="s">
        <v>16343</v>
      </c>
      <c r="N596" s="298" t="s">
        <v>16344</v>
      </c>
      <c r="O596" s="298" t="s">
        <v>16344</v>
      </c>
      <c r="P596" s="299" t="s">
        <v>15857</v>
      </c>
      <c r="Q596" s="300" t="s">
        <v>16345</v>
      </c>
      <c r="R596" s="182" t="str">
        <f ca="1">IF(ISERROR($V596),"",OFFSET('Smelter Look-up'!$C$4,$V596-4,0)&amp;"")</f>
        <v>FIR Metals &amp; Resource Ltd.</v>
      </c>
      <c r="S596" s="181" t="str">
        <f t="shared" ca="1" si="86"/>
        <v>CN</v>
      </c>
      <c r="T596" s="181" t="str">
        <f ca="1">IF(B596="","",IF(ISERROR(MATCH($J596,SorP!$B$1:$B$6226,0)),"",INDIRECT("'SorP'!$A$"&amp;MATCH($S596&amp;$J596,SorP!C:C,0))))</f>
        <v>CN-HN</v>
      </c>
      <c r="U596" s="201"/>
      <c r="V596" s="226">
        <f>IF(C596="",NA(),IF(OR(C596="Smelter not listed",C596="Smelter not yet identified"),MATCH($B596&amp;$D596,'Smelter Look-up'!$J:$J,0),MATCH($B596&amp;$C596,'Smelter Look-up'!$J:$J,0)))</f>
        <v>339</v>
      </c>
      <c r="X596" s="227">
        <f t="shared" si="87"/>
        <v>0</v>
      </c>
      <c r="AB596" s="228" t="str">
        <f t="shared" si="88"/>
        <v>TantalumFIR Metals &amp; Resource Ltd.</v>
      </c>
    </row>
    <row r="597" spans="1:28" s="227" customFormat="1" ht="67.5">
      <c r="A597" s="301" t="s">
        <v>1400</v>
      </c>
      <c r="B597" s="293" t="s">
        <v>1121</v>
      </c>
      <c r="C597" s="294" t="s">
        <v>1399</v>
      </c>
      <c r="D597" s="295" t="s">
        <v>1399</v>
      </c>
      <c r="E597" s="293" t="s">
        <v>1098</v>
      </c>
      <c r="F597" s="293" t="s">
        <v>1400</v>
      </c>
      <c r="G597" s="293" t="s">
        <v>13217</v>
      </c>
      <c r="H597" s="296" t="s">
        <v>15855</v>
      </c>
      <c r="I597" s="297" t="s">
        <v>1741</v>
      </c>
      <c r="J597" s="297" t="s">
        <v>1547</v>
      </c>
      <c r="K597" s="298" t="s">
        <v>15855</v>
      </c>
      <c r="L597" s="298" t="s">
        <v>15855</v>
      </c>
      <c r="M597" s="298" t="s">
        <v>15855</v>
      </c>
      <c r="N597" s="298" t="s">
        <v>15855</v>
      </c>
      <c r="O597" s="298" t="s">
        <v>15855</v>
      </c>
      <c r="P597" s="299" t="s">
        <v>15857</v>
      </c>
      <c r="Q597" s="300" t="s">
        <v>15855</v>
      </c>
      <c r="R597" s="182" t="str">
        <f ca="1">IF(ISERROR($V597),"",OFFSET('Smelter Look-up'!$C$4,$V597-4,0)&amp;"")</f>
        <v>Global Advanced Metals Aizu</v>
      </c>
      <c r="S597" s="181" t="str">
        <f t="shared" ca="1" si="86"/>
        <v>JP</v>
      </c>
      <c r="T597" s="181" t="str">
        <f ca="1">IF(B597="","",IF(ISERROR(MATCH($J597,SorP!$B$1:$B$6226,0)),"",INDIRECT("'SorP'!$A$"&amp;MATCH($S597&amp;$J597,SorP!C:C,0))))</f>
        <v>JP-07</v>
      </c>
      <c r="U597" s="201"/>
      <c r="V597" s="226">
        <f>IF(C597="",NA(),IF(OR(C597="Smelter not listed",C597="Smelter not yet identified"),MATCH($B597&amp;$D597,'Smelter Look-up'!$J:$J,0),MATCH($B597&amp;$C597,'Smelter Look-up'!$J:$J,0)))</f>
        <v>340</v>
      </c>
      <c r="X597" s="227">
        <f t="shared" si="87"/>
        <v>0</v>
      </c>
      <c r="AB597" s="228" t="str">
        <f t="shared" si="88"/>
        <v>TantalumGlobal Advanced Metals Aizu</v>
      </c>
    </row>
    <row r="598" spans="1:28" s="227" customFormat="1" ht="67.5">
      <c r="A598" s="301" t="s">
        <v>1400</v>
      </c>
      <c r="B598" s="293" t="s">
        <v>1121</v>
      </c>
      <c r="C598" s="294" t="s">
        <v>1399</v>
      </c>
      <c r="D598" s="295" t="s">
        <v>1399</v>
      </c>
      <c r="E598" s="293" t="s">
        <v>1098</v>
      </c>
      <c r="F598" s="293" t="s">
        <v>1400</v>
      </c>
      <c r="G598" s="293" t="s">
        <v>13217</v>
      </c>
      <c r="H598" s="296" t="s">
        <v>15855</v>
      </c>
      <c r="I598" s="297" t="s">
        <v>1741</v>
      </c>
      <c r="J598" s="297" t="s">
        <v>1547</v>
      </c>
      <c r="K598" s="298" t="s">
        <v>15855</v>
      </c>
      <c r="L598" s="298" t="s">
        <v>15855</v>
      </c>
      <c r="M598" s="298" t="s">
        <v>15855</v>
      </c>
      <c r="N598" s="298" t="s">
        <v>15855</v>
      </c>
      <c r="O598" s="298" t="s">
        <v>16364</v>
      </c>
      <c r="P598" s="299" t="s">
        <v>15857</v>
      </c>
      <c r="Q598" s="300" t="s">
        <v>16355</v>
      </c>
      <c r="R598" s="182" t="str">
        <f ca="1">IF(ISERROR($V598),"",OFFSET('Smelter Look-up'!$C$4,$V598-4,0)&amp;"")</f>
        <v>Global Advanced Metals Aizu</v>
      </c>
      <c r="S598" s="181" t="str">
        <f t="shared" ca="1" si="86"/>
        <v>JP</v>
      </c>
      <c r="T598" s="181" t="str">
        <f ca="1">IF(B598="","",IF(ISERROR(MATCH($J598,SorP!$B$1:$B$6226,0)),"",INDIRECT("'SorP'!$A$"&amp;MATCH($S598&amp;$J598,SorP!C:C,0))))</f>
        <v>JP-07</v>
      </c>
      <c r="U598" s="201"/>
      <c r="V598" s="226">
        <f>IF(C598="",NA(),IF(OR(C598="Smelter not listed",C598="Smelter not yet identified"),MATCH($B598&amp;$D598,'Smelter Look-up'!$J:$J,0),MATCH($B598&amp;$C598,'Smelter Look-up'!$J:$J,0)))</f>
        <v>340</v>
      </c>
      <c r="X598" s="227">
        <f t="shared" si="87"/>
        <v>0</v>
      </c>
      <c r="AB598" s="228" t="str">
        <f t="shared" si="88"/>
        <v>TantalumGlobal Advanced Metals Aizu</v>
      </c>
    </row>
    <row r="599" spans="1:28" s="227" customFormat="1" ht="67.5">
      <c r="A599" s="301" t="s">
        <v>1400</v>
      </c>
      <c r="B599" s="293" t="s">
        <v>1121</v>
      </c>
      <c r="C599" s="294" t="s">
        <v>1399</v>
      </c>
      <c r="D599" s="295" t="s">
        <v>1399</v>
      </c>
      <c r="E599" s="293" t="s">
        <v>1098</v>
      </c>
      <c r="F599" s="293" t="s">
        <v>1400</v>
      </c>
      <c r="G599" s="293" t="s">
        <v>13217</v>
      </c>
      <c r="H599" s="296" t="s">
        <v>15855</v>
      </c>
      <c r="I599" s="297" t="s">
        <v>1741</v>
      </c>
      <c r="J599" s="297" t="s">
        <v>1547</v>
      </c>
      <c r="K599" s="298" t="s">
        <v>15855</v>
      </c>
      <c r="L599" s="298" t="s">
        <v>15855</v>
      </c>
      <c r="M599" s="298" t="s">
        <v>15855</v>
      </c>
      <c r="N599" s="298" t="s">
        <v>15855</v>
      </c>
      <c r="O599" s="298" t="s">
        <v>15925</v>
      </c>
      <c r="P599" s="299" t="s">
        <v>15857</v>
      </c>
      <c r="Q599" s="300" t="s">
        <v>15855</v>
      </c>
      <c r="R599" s="182" t="str">
        <f ca="1">IF(ISERROR($V599),"",OFFSET('Smelter Look-up'!$C$4,$V599-4,0)&amp;"")</f>
        <v>Global Advanced Metals Aizu</v>
      </c>
      <c r="S599" s="181" t="str">
        <f t="shared" ca="1" si="86"/>
        <v>JP</v>
      </c>
      <c r="T599" s="181" t="str">
        <f ca="1">IF(B599="","",IF(ISERROR(MATCH($J599,SorP!$B$1:$B$6226,0)),"",INDIRECT("'SorP'!$A$"&amp;MATCH($S599&amp;$J599,SorP!C:C,0))))</f>
        <v>JP-07</v>
      </c>
      <c r="U599" s="201"/>
      <c r="V599" s="226">
        <f>IF(C599="",NA(),IF(OR(C599="Smelter not listed",C599="Smelter not yet identified"),MATCH($B599&amp;$D599,'Smelter Look-up'!$J:$J,0),MATCH($B599&amp;$C599,'Smelter Look-up'!$J:$J,0)))</f>
        <v>340</v>
      </c>
      <c r="X599" s="227">
        <f t="shared" si="87"/>
        <v>0</v>
      </c>
      <c r="AB599" s="228" t="str">
        <f t="shared" si="88"/>
        <v>TantalumGlobal Advanced Metals Aizu</v>
      </c>
    </row>
    <row r="600" spans="1:28" s="227" customFormat="1" ht="67.5">
      <c r="A600" s="301" t="s">
        <v>1400</v>
      </c>
      <c r="B600" s="293" t="s">
        <v>1121</v>
      </c>
      <c r="C600" s="294" t="s">
        <v>1399</v>
      </c>
      <c r="D600" s="295" t="s">
        <v>1399</v>
      </c>
      <c r="E600" s="293" t="s">
        <v>1098</v>
      </c>
      <c r="F600" s="293" t="s">
        <v>1400</v>
      </c>
      <c r="G600" s="293" t="s">
        <v>13217</v>
      </c>
      <c r="H600" s="296" t="s">
        <v>15855</v>
      </c>
      <c r="I600" s="297" t="s">
        <v>1741</v>
      </c>
      <c r="J600" s="297" t="s">
        <v>1547</v>
      </c>
      <c r="K600" s="298" t="s">
        <v>16365</v>
      </c>
      <c r="L600" s="298" t="s">
        <v>16366</v>
      </c>
      <c r="M600" s="298" t="s">
        <v>16367</v>
      </c>
      <c r="N600" s="298" t="s">
        <v>15870</v>
      </c>
      <c r="O600" s="298" t="s">
        <v>16368</v>
      </c>
      <c r="P600" s="299" t="s">
        <v>15857</v>
      </c>
      <c r="Q600" s="300" t="s">
        <v>15855</v>
      </c>
      <c r="R600" s="182" t="str">
        <f ca="1">IF(ISERROR($V600),"",OFFSET('Smelter Look-up'!$C$4,$V600-4,0)&amp;"")</f>
        <v>Global Advanced Metals Aizu</v>
      </c>
      <c r="S600" s="181" t="str">
        <f t="shared" ca="1" si="86"/>
        <v>JP</v>
      </c>
      <c r="T600" s="181" t="str">
        <f ca="1">IF(B600="","",IF(ISERROR(MATCH($J600,SorP!$B$1:$B$6226,0)),"",INDIRECT("'SorP'!$A$"&amp;MATCH($S600&amp;$J600,SorP!C:C,0))))</f>
        <v>JP-07</v>
      </c>
      <c r="U600" s="201"/>
      <c r="V600" s="226">
        <f>IF(C600="",NA(),IF(OR(C600="Smelter not listed",C600="Smelter not yet identified"),MATCH($B600&amp;$D600,'Smelter Look-up'!$J:$J,0),MATCH($B600&amp;$C600,'Smelter Look-up'!$J:$J,0)))</f>
        <v>340</v>
      </c>
      <c r="X600" s="227">
        <f t="shared" si="87"/>
        <v>0</v>
      </c>
      <c r="AB600" s="228" t="str">
        <f t="shared" si="88"/>
        <v>TantalumGlobal Advanced Metals Aizu</v>
      </c>
    </row>
    <row r="601" spans="1:28" s="227" customFormat="1" ht="67.5">
      <c r="A601" s="301" t="s">
        <v>1400</v>
      </c>
      <c r="B601" s="293" t="s">
        <v>1121</v>
      </c>
      <c r="C601" s="294" t="s">
        <v>1399</v>
      </c>
      <c r="D601" s="295" t="s">
        <v>1399</v>
      </c>
      <c r="E601" s="293" t="s">
        <v>1098</v>
      </c>
      <c r="F601" s="293" t="s">
        <v>1400</v>
      </c>
      <c r="G601" s="293" t="s">
        <v>13217</v>
      </c>
      <c r="H601" s="302" t="s">
        <v>15880</v>
      </c>
      <c r="I601" s="297" t="s">
        <v>1741</v>
      </c>
      <c r="J601" s="297" t="s">
        <v>1547</v>
      </c>
      <c r="K601" s="298" t="s">
        <v>15855</v>
      </c>
      <c r="L601" s="298" t="s">
        <v>15855</v>
      </c>
      <c r="M601" s="298" t="s">
        <v>15855</v>
      </c>
      <c r="N601" s="298" t="s">
        <v>15855</v>
      </c>
      <c r="O601" s="298" t="s">
        <v>15855</v>
      </c>
      <c r="P601" s="299" t="s">
        <v>15857</v>
      </c>
      <c r="Q601" s="300" t="s">
        <v>15855</v>
      </c>
      <c r="R601" s="182" t="str">
        <f ca="1">IF(ISERROR($V601),"",OFFSET('Smelter Look-up'!$C$4,$V601-4,0)&amp;"")</f>
        <v>Global Advanced Metals Aizu</v>
      </c>
      <c r="S601" s="181" t="str">
        <f t="shared" ca="1" si="86"/>
        <v>JP</v>
      </c>
      <c r="T601" s="181" t="str">
        <f ca="1">IF(B601="","",IF(ISERROR(MATCH($J601,SorP!$B$1:$B$6226,0)),"",INDIRECT("'SorP'!$A$"&amp;MATCH($S601&amp;$J601,SorP!C:C,0))))</f>
        <v>JP-07</v>
      </c>
      <c r="U601" s="201"/>
      <c r="V601" s="226">
        <f>IF(C601="",NA(),IF(OR(C601="Smelter not listed",C601="Smelter not yet identified"),MATCH($B601&amp;$D601,'Smelter Look-up'!$J:$J,0),MATCH($B601&amp;$C601,'Smelter Look-up'!$J:$J,0)))</f>
        <v>340</v>
      </c>
      <c r="X601" s="227">
        <f t="shared" si="87"/>
        <v>0</v>
      </c>
      <c r="AB601" s="228" t="str">
        <f t="shared" si="88"/>
        <v>TantalumGlobal Advanced Metals Aizu</v>
      </c>
    </row>
    <row r="602" spans="1:28" s="227" customFormat="1" ht="67.5">
      <c r="A602" s="301" t="s">
        <v>1400</v>
      </c>
      <c r="B602" s="293" t="s">
        <v>1121</v>
      </c>
      <c r="C602" s="294" t="s">
        <v>1399</v>
      </c>
      <c r="D602" s="295" t="s">
        <v>1399</v>
      </c>
      <c r="E602" s="293" t="s">
        <v>1098</v>
      </c>
      <c r="F602" s="293" t="s">
        <v>1400</v>
      </c>
      <c r="G602" s="293" t="s">
        <v>13217</v>
      </c>
      <c r="H602" s="302" t="s">
        <v>15880</v>
      </c>
      <c r="I602" s="297" t="s">
        <v>1741</v>
      </c>
      <c r="J602" s="297" t="s">
        <v>1547</v>
      </c>
      <c r="K602" s="298" t="s">
        <v>15855</v>
      </c>
      <c r="L602" s="298" t="s">
        <v>15855</v>
      </c>
      <c r="M602" s="298" t="s">
        <v>15855</v>
      </c>
      <c r="N602" s="298" t="s">
        <v>15855</v>
      </c>
      <c r="O602" s="298" t="s">
        <v>16369</v>
      </c>
      <c r="P602" s="299" t="s">
        <v>15857</v>
      </c>
      <c r="Q602" s="300" t="s">
        <v>15855</v>
      </c>
      <c r="R602" s="182" t="str">
        <f ca="1">IF(ISERROR($V602),"",OFFSET('Smelter Look-up'!$C$4,$V602-4,0)&amp;"")</f>
        <v>Global Advanced Metals Aizu</v>
      </c>
      <c r="S602" s="181" t="str">
        <f t="shared" ca="1" si="86"/>
        <v>JP</v>
      </c>
      <c r="T602" s="181" t="str">
        <f ca="1">IF(B602="","",IF(ISERROR(MATCH($J602,SorP!$B$1:$B$6226,0)),"",INDIRECT("'SorP'!$A$"&amp;MATCH($S602&amp;$J602,SorP!C:C,0))))</f>
        <v>JP-07</v>
      </c>
      <c r="U602" s="201"/>
      <c r="V602" s="226">
        <f>IF(C602="",NA(),IF(OR(C602="Smelter not listed",C602="Smelter not yet identified"),MATCH($B602&amp;$D602,'Smelter Look-up'!$J:$J,0),MATCH($B602&amp;$C602,'Smelter Look-up'!$J:$J,0)))</f>
        <v>340</v>
      </c>
      <c r="X602" s="227">
        <f t="shared" si="87"/>
        <v>0</v>
      </c>
      <c r="AB602" s="228" t="str">
        <f t="shared" si="88"/>
        <v>TantalumGlobal Advanced Metals Aizu</v>
      </c>
    </row>
    <row r="603" spans="1:28" s="227" customFormat="1" ht="67.5">
      <c r="A603" s="301" t="s">
        <v>1400</v>
      </c>
      <c r="B603" s="293" t="s">
        <v>1121</v>
      </c>
      <c r="C603" s="294" t="s">
        <v>1399</v>
      </c>
      <c r="D603" s="295" t="s">
        <v>1399</v>
      </c>
      <c r="E603" s="293" t="s">
        <v>1098</v>
      </c>
      <c r="F603" s="293" t="s">
        <v>1400</v>
      </c>
      <c r="G603" s="293" t="s">
        <v>13217</v>
      </c>
      <c r="H603" s="296" t="s">
        <v>16370</v>
      </c>
      <c r="I603" s="297" t="s">
        <v>1741</v>
      </c>
      <c r="J603" s="297" t="s">
        <v>1547</v>
      </c>
      <c r="K603" s="298" t="s">
        <v>16365</v>
      </c>
      <c r="L603" s="298" t="s">
        <v>16366</v>
      </c>
      <c r="M603" s="298" t="s">
        <v>16343</v>
      </c>
      <c r="N603" s="298" t="s">
        <v>16344</v>
      </c>
      <c r="O603" s="298" t="s">
        <v>16344</v>
      </c>
      <c r="P603" s="299" t="s">
        <v>15857</v>
      </c>
      <c r="Q603" s="300" t="s">
        <v>16345</v>
      </c>
      <c r="R603" s="182" t="str">
        <f ca="1">IF(ISERROR($V603),"",OFFSET('Smelter Look-up'!$C$4,$V603-4,0)&amp;"")</f>
        <v>Global Advanced Metals Aizu</v>
      </c>
      <c r="S603" s="181" t="str">
        <f t="shared" ca="1" si="86"/>
        <v>JP</v>
      </c>
      <c r="T603" s="181" t="str">
        <f ca="1">IF(B603="","",IF(ISERROR(MATCH($J603,SorP!$B$1:$B$6226,0)),"",INDIRECT("'SorP'!$A$"&amp;MATCH($S603&amp;$J603,SorP!C:C,0))))</f>
        <v>JP-07</v>
      </c>
      <c r="U603" s="201"/>
      <c r="V603" s="226">
        <f>IF(C603="",NA(),IF(OR(C603="Smelter not listed",C603="Smelter not yet identified"),MATCH($B603&amp;$D603,'Smelter Look-up'!$J:$J,0),MATCH($B603&amp;$C603,'Smelter Look-up'!$J:$J,0)))</f>
        <v>340</v>
      </c>
      <c r="X603" s="227">
        <f t="shared" si="87"/>
        <v>0</v>
      </c>
      <c r="AB603" s="228" t="str">
        <f t="shared" si="88"/>
        <v>TantalumGlobal Advanced Metals Aizu</v>
      </c>
    </row>
    <row r="604" spans="1:28" s="227" customFormat="1" ht="81">
      <c r="A604" s="301" t="s">
        <v>1402</v>
      </c>
      <c r="B604" s="293" t="s">
        <v>1121</v>
      </c>
      <c r="C604" s="294" t="s">
        <v>1401</v>
      </c>
      <c r="D604" s="295" t="s">
        <v>1401</v>
      </c>
      <c r="E604" s="293" t="s">
        <v>2415</v>
      </c>
      <c r="F604" s="293" t="s">
        <v>1402</v>
      </c>
      <c r="G604" s="293" t="s">
        <v>13217</v>
      </c>
      <c r="H604" s="296" t="s">
        <v>15855</v>
      </c>
      <c r="I604" s="297" t="s">
        <v>1740</v>
      </c>
      <c r="J604" s="297" t="s">
        <v>1725</v>
      </c>
      <c r="K604" s="298" t="s">
        <v>15855</v>
      </c>
      <c r="L604" s="298" t="s">
        <v>15855</v>
      </c>
      <c r="M604" s="298" t="s">
        <v>15855</v>
      </c>
      <c r="N604" s="298" t="s">
        <v>15855</v>
      </c>
      <c r="O604" s="298" t="s">
        <v>15855</v>
      </c>
      <c r="P604" s="299" t="s">
        <v>15857</v>
      </c>
      <c r="Q604" s="300" t="s">
        <v>15855</v>
      </c>
      <c r="R604" s="182" t="str">
        <f ca="1">IF(ISERROR($V604),"",OFFSET('Smelter Look-up'!$C$4,$V604-4,0)&amp;"")</f>
        <v>Global Advanced Metals Boyertown</v>
      </c>
      <c r="S604" s="181" t="str">
        <f t="shared" ca="1" si="86"/>
        <v>US</v>
      </c>
      <c r="T604" s="181" t="str">
        <f ca="1">IF(B604="","",IF(ISERROR(MATCH($J604,SorP!$B$1:$B$6226,0)),"",INDIRECT("'SorP'!$A$"&amp;MATCH($S604&amp;$J604,SorP!C:C,0))))</f>
        <v>US-PA</v>
      </c>
      <c r="U604" s="201"/>
      <c r="V604" s="226">
        <f>IF(C604="",NA(),IF(OR(C604="Smelter not listed",C604="Smelter not yet identified"),MATCH($B604&amp;$D604,'Smelter Look-up'!$J:$J,0),MATCH($B604&amp;$C604,'Smelter Look-up'!$J:$J,0)))</f>
        <v>341</v>
      </c>
      <c r="X604" s="227">
        <f t="shared" si="87"/>
        <v>0</v>
      </c>
      <c r="AB604" s="228" t="str">
        <f t="shared" si="88"/>
        <v>TantalumGlobal Advanced Metals Boyertown</v>
      </c>
    </row>
    <row r="605" spans="1:28" s="227" customFormat="1" ht="81">
      <c r="A605" s="301" t="s">
        <v>1402</v>
      </c>
      <c r="B605" s="293" t="s">
        <v>1121</v>
      </c>
      <c r="C605" s="294" t="s">
        <v>1401</v>
      </c>
      <c r="D605" s="295" t="s">
        <v>1401</v>
      </c>
      <c r="E605" s="293" t="s">
        <v>2415</v>
      </c>
      <c r="F605" s="293" t="s">
        <v>1402</v>
      </c>
      <c r="G605" s="293" t="s">
        <v>13217</v>
      </c>
      <c r="H605" s="296" t="s">
        <v>15855</v>
      </c>
      <c r="I605" s="297" t="s">
        <v>1740</v>
      </c>
      <c r="J605" s="297" t="s">
        <v>1725</v>
      </c>
      <c r="K605" s="298" t="s">
        <v>15855</v>
      </c>
      <c r="L605" s="298" t="s">
        <v>15855</v>
      </c>
      <c r="M605" s="298" t="s">
        <v>15855</v>
      </c>
      <c r="N605" s="298" t="s">
        <v>15855</v>
      </c>
      <c r="O605" s="298" t="s">
        <v>16371</v>
      </c>
      <c r="P605" s="299" t="s">
        <v>15857</v>
      </c>
      <c r="Q605" s="300" t="s">
        <v>15855</v>
      </c>
      <c r="R605" s="182" t="str">
        <f ca="1">IF(ISERROR($V605),"",OFFSET('Smelter Look-up'!$C$4,$V605-4,0)&amp;"")</f>
        <v>Global Advanced Metals Boyertown</v>
      </c>
      <c r="S605" s="181" t="str">
        <f t="shared" ca="1" si="86"/>
        <v>US</v>
      </c>
      <c r="T605" s="181" t="str">
        <f ca="1">IF(B605="","",IF(ISERROR(MATCH($J605,SorP!$B$1:$B$6226,0)),"",INDIRECT("'SorP'!$A$"&amp;MATCH($S605&amp;$J605,SorP!C:C,0))))</f>
        <v>US-PA</v>
      </c>
      <c r="U605" s="201"/>
      <c r="V605" s="226">
        <f>IF(C605="",NA(),IF(OR(C605="Smelter not listed",C605="Smelter not yet identified"),MATCH($B605&amp;$D605,'Smelter Look-up'!$J:$J,0),MATCH($B605&amp;$C605,'Smelter Look-up'!$J:$J,0)))</f>
        <v>341</v>
      </c>
      <c r="X605" s="227">
        <f t="shared" si="87"/>
        <v>0</v>
      </c>
      <c r="AB605" s="228" t="str">
        <f t="shared" si="88"/>
        <v>TantalumGlobal Advanced Metals Boyertown</v>
      </c>
    </row>
    <row r="606" spans="1:28" s="227" customFormat="1" ht="81">
      <c r="A606" s="301" t="s">
        <v>1402</v>
      </c>
      <c r="B606" s="293" t="s">
        <v>1121</v>
      </c>
      <c r="C606" s="294" t="s">
        <v>1401</v>
      </c>
      <c r="D606" s="295" t="s">
        <v>1401</v>
      </c>
      <c r="E606" s="293" t="s">
        <v>2415</v>
      </c>
      <c r="F606" s="293" t="s">
        <v>1402</v>
      </c>
      <c r="G606" s="293" t="s">
        <v>13217</v>
      </c>
      <c r="H606" s="296" t="s">
        <v>15855</v>
      </c>
      <c r="I606" s="297" t="s">
        <v>1740</v>
      </c>
      <c r="J606" s="297" t="s">
        <v>1725</v>
      </c>
      <c r="K606" s="298" t="s">
        <v>15855</v>
      </c>
      <c r="L606" s="298" t="s">
        <v>15855</v>
      </c>
      <c r="M606" s="298" t="s">
        <v>15855</v>
      </c>
      <c r="N606" s="298" t="s">
        <v>15855</v>
      </c>
      <c r="O606" s="298" t="s">
        <v>16354</v>
      </c>
      <c r="P606" s="299" t="s">
        <v>15857</v>
      </c>
      <c r="Q606" s="300" t="s">
        <v>16355</v>
      </c>
      <c r="R606" s="182" t="str">
        <f ca="1">IF(ISERROR($V606),"",OFFSET('Smelter Look-up'!$C$4,$V606-4,0)&amp;"")</f>
        <v>Global Advanced Metals Boyertown</v>
      </c>
      <c r="S606" s="181" t="str">
        <f t="shared" ca="1" si="86"/>
        <v>US</v>
      </c>
      <c r="T606" s="181" t="str">
        <f ca="1">IF(B606="","",IF(ISERROR(MATCH($J606,SorP!$B$1:$B$6226,0)),"",INDIRECT("'SorP'!$A$"&amp;MATCH($S606&amp;$J606,SorP!C:C,0))))</f>
        <v>US-PA</v>
      </c>
      <c r="U606" s="201"/>
      <c r="V606" s="226">
        <f>IF(C606="",NA(),IF(OR(C606="Smelter not listed",C606="Smelter not yet identified"),MATCH($B606&amp;$D606,'Smelter Look-up'!$J:$J,0),MATCH($B606&amp;$C606,'Smelter Look-up'!$J:$J,0)))</f>
        <v>341</v>
      </c>
      <c r="X606" s="227">
        <f t="shared" si="87"/>
        <v>0</v>
      </c>
      <c r="AB606" s="228" t="str">
        <f t="shared" si="88"/>
        <v>TantalumGlobal Advanced Metals Boyertown</v>
      </c>
    </row>
    <row r="607" spans="1:28" s="227" customFormat="1" ht="81">
      <c r="A607" s="301" t="s">
        <v>1402</v>
      </c>
      <c r="B607" s="293" t="s">
        <v>1121</v>
      </c>
      <c r="C607" s="294" t="s">
        <v>1401</v>
      </c>
      <c r="D607" s="295" t="s">
        <v>1401</v>
      </c>
      <c r="E607" s="293" t="s">
        <v>2415</v>
      </c>
      <c r="F607" s="293" t="s">
        <v>1402</v>
      </c>
      <c r="G607" s="293" t="s">
        <v>13217</v>
      </c>
      <c r="H607" s="296" t="s">
        <v>15855</v>
      </c>
      <c r="I607" s="297" t="s">
        <v>1740</v>
      </c>
      <c r="J607" s="297" t="s">
        <v>1725</v>
      </c>
      <c r="K607" s="298" t="s">
        <v>16365</v>
      </c>
      <c r="L607" s="298" t="s">
        <v>16366</v>
      </c>
      <c r="M607" s="298" t="s">
        <v>16372</v>
      </c>
      <c r="N607" s="298" t="s">
        <v>16373</v>
      </c>
      <c r="O607" s="298" t="s">
        <v>16374</v>
      </c>
      <c r="P607" s="299" t="s">
        <v>15857</v>
      </c>
      <c r="Q607" s="300" t="s">
        <v>15855</v>
      </c>
      <c r="R607" s="182" t="str">
        <f ca="1">IF(ISERROR($V607),"",OFFSET('Smelter Look-up'!$C$4,$V607-4,0)&amp;"")</f>
        <v>Global Advanced Metals Boyertown</v>
      </c>
      <c r="S607" s="181" t="str">
        <f t="shared" ca="1" si="86"/>
        <v>US</v>
      </c>
      <c r="T607" s="181" t="str">
        <f ca="1">IF(B607="","",IF(ISERROR(MATCH($J607,SorP!$B$1:$B$6226,0)),"",INDIRECT("'SorP'!$A$"&amp;MATCH($S607&amp;$J607,SorP!C:C,0))))</f>
        <v>US-PA</v>
      </c>
      <c r="U607" s="201"/>
      <c r="V607" s="226">
        <f>IF(C607="",NA(),IF(OR(C607="Smelter not listed",C607="Smelter not yet identified"),MATCH($B607&amp;$D607,'Smelter Look-up'!$J:$J,0),MATCH($B607&amp;$C607,'Smelter Look-up'!$J:$J,0)))</f>
        <v>341</v>
      </c>
      <c r="X607" s="227">
        <f t="shared" si="87"/>
        <v>0</v>
      </c>
      <c r="AB607" s="228" t="str">
        <f t="shared" si="88"/>
        <v>TantalumGlobal Advanced Metals Boyertown</v>
      </c>
    </row>
    <row r="608" spans="1:28" s="227" customFormat="1" ht="81">
      <c r="A608" s="301" t="s">
        <v>1402</v>
      </c>
      <c r="B608" s="293" t="s">
        <v>1121</v>
      </c>
      <c r="C608" s="294" t="s">
        <v>1401</v>
      </c>
      <c r="D608" s="295" t="s">
        <v>1401</v>
      </c>
      <c r="E608" s="293" t="s">
        <v>2415</v>
      </c>
      <c r="F608" s="293" t="s">
        <v>1402</v>
      </c>
      <c r="G608" s="293" t="s">
        <v>13217</v>
      </c>
      <c r="H608" s="302" t="s">
        <v>15880</v>
      </c>
      <c r="I608" s="297" t="s">
        <v>1740</v>
      </c>
      <c r="J608" s="297" t="s">
        <v>1725</v>
      </c>
      <c r="K608" s="298" t="s">
        <v>15855</v>
      </c>
      <c r="L608" s="298" t="s">
        <v>15855</v>
      </c>
      <c r="M608" s="298" t="s">
        <v>15855</v>
      </c>
      <c r="N608" s="298" t="s">
        <v>15855</v>
      </c>
      <c r="O608" s="298" t="s">
        <v>15855</v>
      </c>
      <c r="P608" s="299" t="s">
        <v>15857</v>
      </c>
      <c r="Q608" s="300" t="s">
        <v>15855</v>
      </c>
      <c r="R608" s="182" t="str">
        <f ca="1">IF(ISERROR($V608),"",OFFSET('Smelter Look-up'!$C$4,$V608-4,0)&amp;"")</f>
        <v>Global Advanced Metals Boyertown</v>
      </c>
      <c r="S608" s="181" t="str">
        <f t="shared" ca="1" si="86"/>
        <v>US</v>
      </c>
      <c r="T608" s="181" t="str">
        <f ca="1">IF(B608="","",IF(ISERROR(MATCH($J608,SorP!$B$1:$B$6226,0)),"",INDIRECT("'SorP'!$A$"&amp;MATCH($S608&amp;$J608,SorP!C:C,0))))</f>
        <v>US-PA</v>
      </c>
      <c r="U608" s="201"/>
      <c r="V608" s="226">
        <f>IF(C608="",NA(),IF(OR(C608="Smelter not listed",C608="Smelter not yet identified"),MATCH($B608&amp;$D608,'Smelter Look-up'!$J:$J,0),MATCH($B608&amp;$C608,'Smelter Look-up'!$J:$J,0)))</f>
        <v>341</v>
      </c>
      <c r="X608" s="227">
        <f t="shared" si="87"/>
        <v>0</v>
      </c>
      <c r="AB608" s="228" t="str">
        <f t="shared" si="88"/>
        <v>TantalumGlobal Advanced Metals Boyertown</v>
      </c>
    </row>
    <row r="609" spans="1:28" s="227" customFormat="1" ht="121.5">
      <c r="A609" s="301" t="s">
        <v>1402</v>
      </c>
      <c r="B609" s="293" t="s">
        <v>1121</v>
      </c>
      <c r="C609" s="294" t="s">
        <v>1401</v>
      </c>
      <c r="D609" s="295" t="s">
        <v>1401</v>
      </c>
      <c r="E609" s="293" t="s">
        <v>16375</v>
      </c>
      <c r="F609" s="293" t="s">
        <v>1402</v>
      </c>
      <c r="G609" s="293" t="s">
        <v>13217</v>
      </c>
      <c r="H609" s="302" t="s">
        <v>15880</v>
      </c>
      <c r="I609" s="297" t="s">
        <v>1740</v>
      </c>
      <c r="J609" s="297" t="s">
        <v>1725</v>
      </c>
      <c r="K609" s="298" t="s">
        <v>15855</v>
      </c>
      <c r="L609" s="298" t="s">
        <v>15855</v>
      </c>
      <c r="M609" s="298" t="s">
        <v>15855</v>
      </c>
      <c r="N609" s="298" t="s">
        <v>15855</v>
      </c>
      <c r="O609" s="298" t="s">
        <v>16376</v>
      </c>
      <c r="P609" s="299" t="s">
        <v>15857</v>
      </c>
      <c r="Q609" s="300" t="s">
        <v>15855</v>
      </c>
      <c r="R609" s="182" t="str">
        <f ca="1">IF(ISERROR($V609),"",OFFSET('Smelter Look-up'!$C$4,$V609-4,0)&amp;"")</f>
        <v>Global Advanced Metals Boyertown</v>
      </c>
      <c r="S609" s="181" t="str">
        <f t="shared" ca="1" si="86"/>
        <v>US</v>
      </c>
      <c r="T609" s="181" t="str">
        <f ca="1">IF(B609="","",IF(ISERROR(MATCH($J609,SorP!$B$1:$B$6226,0)),"",INDIRECT("'SorP'!$A$"&amp;MATCH($S609&amp;$J609,SorP!C:C,0))))</f>
        <v>US-PA</v>
      </c>
      <c r="U609" s="201"/>
      <c r="V609" s="226">
        <f>IF(C609="",NA(),IF(OR(C609="Smelter not listed",C609="Smelter not yet identified"),MATCH($B609&amp;$D609,'Smelter Look-up'!$J:$J,0),MATCH($B609&amp;$C609,'Smelter Look-up'!$J:$J,0)))</f>
        <v>341</v>
      </c>
      <c r="X609" s="227">
        <f t="shared" si="87"/>
        <v>0</v>
      </c>
      <c r="AB609" s="228" t="str">
        <f t="shared" si="88"/>
        <v>TantalumGlobal Advanced Metals Boyertown</v>
      </c>
    </row>
    <row r="610" spans="1:28" s="227" customFormat="1" ht="81">
      <c r="A610" s="301" t="s">
        <v>1402</v>
      </c>
      <c r="B610" s="293" t="s">
        <v>1121</v>
      </c>
      <c r="C610" s="294" t="s">
        <v>1401</v>
      </c>
      <c r="D610" s="295" t="s">
        <v>1401</v>
      </c>
      <c r="E610" s="293" t="s">
        <v>2415</v>
      </c>
      <c r="F610" s="293" t="s">
        <v>1402</v>
      </c>
      <c r="G610" s="293" t="s">
        <v>13217</v>
      </c>
      <c r="H610" s="296" t="s">
        <v>16377</v>
      </c>
      <c r="I610" s="297" t="s">
        <v>1740</v>
      </c>
      <c r="J610" s="297" t="s">
        <v>1725</v>
      </c>
      <c r="K610" s="298" t="s">
        <v>16378</v>
      </c>
      <c r="L610" s="298" t="s">
        <v>16379</v>
      </c>
      <c r="M610" s="298" t="s">
        <v>16343</v>
      </c>
      <c r="N610" s="298" t="s">
        <v>16344</v>
      </c>
      <c r="O610" s="298" t="s">
        <v>16344</v>
      </c>
      <c r="P610" s="299" t="s">
        <v>15857</v>
      </c>
      <c r="Q610" s="300" t="s">
        <v>16345</v>
      </c>
      <c r="R610" s="182" t="str">
        <f ca="1">IF(ISERROR($V610),"",OFFSET('Smelter Look-up'!$C$4,$V610-4,0)&amp;"")</f>
        <v>Global Advanced Metals Boyertown</v>
      </c>
      <c r="S610" s="181" t="str">
        <f t="shared" ca="1" si="86"/>
        <v>US</v>
      </c>
      <c r="T610" s="181" t="str">
        <f ca="1">IF(B610="","",IF(ISERROR(MATCH($J610,SorP!$B$1:$B$6226,0)),"",INDIRECT("'SorP'!$A$"&amp;MATCH($S610&amp;$J610,SorP!C:C,0))))</f>
        <v>US-PA</v>
      </c>
      <c r="U610" s="201"/>
      <c r="V610" s="226">
        <f>IF(C610="",NA(),IF(OR(C610="Smelter not listed",C610="Smelter not yet identified"),MATCH($B610&amp;$D610,'Smelter Look-up'!$J:$J,0),MATCH($B610&amp;$C610,'Smelter Look-up'!$J:$J,0)))</f>
        <v>341</v>
      </c>
      <c r="X610" s="227">
        <f t="shared" si="87"/>
        <v>0</v>
      </c>
      <c r="AB610" s="228" t="str">
        <f t="shared" si="88"/>
        <v>TantalumGlobal Advanced Metals Boyertown</v>
      </c>
    </row>
    <row r="611" spans="1:28" s="227" customFormat="1" ht="94.5">
      <c r="A611" s="301" t="s">
        <v>743</v>
      </c>
      <c r="B611" s="293" t="s">
        <v>1121</v>
      </c>
      <c r="C611" s="294" t="s">
        <v>742</v>
      </c>
      <c r="D611" s="295" t="s">
        <v>742</v>
      </c>
      <c r="E611" s="293" t="s">
        <v>1090</v>
      </c>
      <c r="F611" s="293" t="s">
        <v>743</v>
      </c>
      <c r="G611" s="293" t="s">
        <v>13217</v>
      </c>
      <c r="H611" s="296" t="s">
        <v>16380</v>
      </c>
      <c r="I611" s="297" t="s">
        <v>1707</v>
      </c>
      <c r="J611" s="297" t="s">
        <v>13601</v>
      </c>
      <c r="K611" s="298" t="s">
        <v>16381</v>
      </c>
      <c r="L611" s="298" t="s">
        <v>16382</v>
      </c>
      <c r="M611" s="298" t="s">
        <v>16343</v>
      </c>
      <c r="N611" s="298" t="s">
        <v>16344</v>
      </c>
      <c r="O611" s="298" t="s">
        <v>16344</v>
      </c>
      <c r="P611" s="299" t="s">
        <v>15857</v>
      </c>
      <c r="Q611" s="300" t="s">
        <v>16345</v>
      </c>
      <c r="R611" s="182" t="str">
        <f ca="1">IF(ISERROR($V611),"",OFFSET('Smelter Look-up'!$C$4,$V611-4,0)&amp;"")</f>
        <v>XIMEI RESOURCES (GUANGDONG) LIMITED</v>
      </c>
      <c r="S611" s="181" t="str">
        <f t="shared" ca="1" si="86"/>
        <v>CN</v>
      </c>
      <c r="T611" s="181" t="str">
        <f ca="1">IF(B611="","",IF(ISERROR(MATCH($J611,SorP!$B$1:$B$6226,0)),"",INDIRECT("'SorP'!$A$"&amp;MATCH($S611&amp;$J611,SorP!C:C,0))))</f>
        <v>CN-GD</v>
      </c>
      <c r="U611" s="201"/>
      <c r="V611" s="226">
        <f>IF(C611="",NA(),IF(OR(C611="Smelter not listed",C611="Smelter not yet identified"),MATCH($B611&amp;$D611,'Smelter Look-up'!$J:$J,0),MATCH($B611&amp;$C611,'Smelter Look-up'!$J:$J,0)))</f>
        <v>343</v>
      </c>
      <c r="X611" s="227">
        <f t="shared" si="87"/>
        <v>0</v>
      </c>
      <c r="AB611" s="228" t="str">
        <f t="shared" si="88"/>
        <v>TantalumGuangdong Zhiyuan New Material Co., Ltd.</v>
      </c>
    </row>
    <row r="612" spans="1:28" s="227" customFormat="1" ht="54">
      <c r="A612" s="301" t="s">
        <v>1404</v>
      </c>
      <c r="B612" s="293" t="s">
        <v>1121</v>
      </c>
      <c r="C612" s="294" t="s">
        <v>1403</v>
      </c>
      <c r="D612" s="295" t="s">
        <v>1403</v>
      </c>
      <c r="E612" s="293" t="s">
        <v>878</v>
      </c>
      <c r="F612" s="293" t="s">
        <v>1404</v>
      </c>
      <c r="G612" s="293" t="s">
        <v>13217</v>
      </c>
      <c r="H612" s="296" t="s">
        <v>16383</v>
      </c>
      <c r="I612" s="297" t="s">
        <v>1734</v>
      </c>
      <c r="J612" s="297" t="s">
        <v>1735</v>
      </c>
      <c r="K612" s="298" t="s">
        <v>16384</v>
      </c>
      <c r="L612" s="298" t="s">
        <v>16385</v>
      </c>
      <c r="M612" s="298" t="s">
        <v>16343</v>
      </c>
      <c r="N612" s="298" t="s">
        <v>16344</v>
      </c>
      <c r="O612" s="298" t="s">
        <v>16344</v>
      </c>
      <c r="P612" s="299" t="s">
        <v>15857</v>
      </c>
      <c r="Q612" s="300" t="s">
        <v>16345</v>
      </c>
      <c r="R612" s="182" t="str">
        <f ca="1">IF(ISERROR($V612),"",OFFSET('Smelter Look-up'!$C$4,$V612-4,0)&amp;"")</f>
        <v>TANIOBIS Co., Ltd.</v>
      </c>
      <c r="S612" s="181" t="str">
        <f t="shared" ca="1" si="86"/>
        <v>TH</v>
      </c>
      <c r="T612" s="181" t="str">
        <f ca="1">IF(B612="","",IF(ISERROR(MATCH($J612,SorP!$B$1:$B$6226,0)),"",INDIRECT("'SorP'!$A$"&amp;MATCH($S612&amp;$J612,SorP!C:C,0))))</f>
        <v>TH-21</v>
      </c>
      <c r="U612" s="201"/>
      <c r="V612" s="226">
        <f>IF(C612="",NA(),IF(OR(C612="Smelter not listed",C612="Smelter not yet identified"),MATCH($B612&amp;$D612,'Smelter Look-up'!$J:$J,0),MATCH($B612&amp;$C612,'Smelter Look-up'!$J:$J,0)))</f>
        <v>344</v>
      </c>
      <c r="X612" s="227">
        <f t="shared" si="87"/>
        <v>0</v>
      </c>
      <c r="AB612" s="228" t="str">
        <f t="shared" si="88"/>
        <v>TantalumH.C. Starck Co., Ltd.</v>
      </c>
    </row>
    <row r="613" spans="1:28" s="227" customFormat="1" ht="67.5">
      <c r="A613" s="301" t="s">
        <v>16386</v>
      </c>
      <c r="B613" s="293" t="s">
        <v>1121</v>
      </c>
      <c r="C613" s="294" t="s">
        <v>16387</v>
      </c>
      <c r="D613" s="295" t="s">
        <v>16387</v>
      </c>
      <c r="E613" s="293" t="s">
        <v>1091</v>
      </c>
      <c r="F613" s="293" t="s">
        <v>16386</v>
      </c>
      <c r="G613" s="293" t="s">
        <v>13217</v>
      </c>
      <c r="H613" s="296" t="s">
        <v>15855</v>
      </c>
      <c r="I613" s="297" t="s">
        <v>16388</v>
      </c>
      <c r="J613" s="297" t="s">
        <v>4206</v>
      </c>
      <c r="K613" s="298" t="s">
        <v>15855</v>
      </c>
      <c r="L613" s="298" t="s">
        <v>15855</v>
      </c>
      <c r="M613" s="298" t="s">
        <v>15855</v>
      </c>
      <c r="N613" s="298" t="s">
        <v>15855</v>
      </c>
      <c r="O613" s="298" t="s">
        <v>15855</v>
      </c>
      <c r="P613" s="299" t="s">
        <v>15857</v>
      </c>
      <c r="Q613" s="300" t="s">
        <v>15855</v>
      </c>
      <c r="R613" s="182" t="str">
        <f ca="1">IF(ISERROR($V613),"",OFFSET('Smelter Look-up'!$C$4,$V613-4,0)&amp;"")</f>
        <v/>
      </c>
      <c r="S613" s="181" t="str">
        <f t="shared" ca="1" si="86"/>
        <v>DE</v>
      </c>
      <c r="T613" s="181" t="str">
        <f ca="1">IF(B613="","",IF(ISERROR(MATCH($J613,SorP!$B$1:$B$6226,0)),"",INDIRECT("'SorP'!$A$"&amp;MATCH($S613&amp;$J613,SorP!C:C,0))))</f>
        <v>DE-TH</v>
      </c>
      <c r="U613" s="201"/>
      <c r="V613" s="226" t="e">
        <f>IF(C613="",NA(),IF(OR(C613="Smelter not listed",C613="Smelter not yet identified"),MATCH($B613&amp;$D613,'Smelter Look-up'!$J:$J,0),MATCH($B613&amp;$C613,'Smelter Look-up'!$J:$J,0)))</f>
        <v>#N/A</v>
      </c>
      <c r="X613" s="227">
        <f t="shared" si="87"/>
        <v>0</v>
      </c>
      <c r="AB613" s="228" t="str">
        <f t="shared" si="88"/>
        <v>TantalumH.C. Starck Hermsdorf GmbH</v>
      </c>
    </row>
    <row r="614" spans="1:28" s="227" customFormat="1" ht="67.5">
      <c r="A614" s="301" t="s">
        <v>16386</v>
      </c>
      <c r="B614" s="293" t="s">
        <v>1121</v>
      </c>
      <c r="C614" s="294" t="s">
        <v>16387</v>
      </c>
      <c r="D614" s="295" t="s">
        <v>16387</v>
      </c>
      <c r="E614" s="293" t="s">
        <v>1091</v>
      </c>
      <c r="F614" s="293" t="s">
        <v>16386</v>
      </c>
      <c r="G614" s="293" t="s">
        <v>13217</v>
      </c>
      <c r="H614" s="296" t="s">
        <v>15855</v>
      </c>
      <c r="I614" s="297" t="s">
        <v>16388</v>
      </c>
      <c r="J614" s="297" t="s">
        <v>4206</v>
      </c>
      <c r="K614" s="298" t="s">
        <v>16389</v>
      </c>
      <c r="L614" s="298" t="s">
        <v>16390</v>
      </c>
      <c r="M614" s="298" t="s">
        <v>15869</v>
      </c>
      <c r="N614" s="298" t="s">
        <v>15870</v>
      </c>
      <c r="O614" s="298" t="s">
        <v>15871</v>
      </c>
      <c r="P614" s="299" t="s">
        <v>15857</v>
      </c>
      <c r="Q614" s="300" t="s">
        <v>15855</v>
      </c>
      <c r="R614" s="182" t="str">
        <f ca="1">IF(ISERROR($V614),"",OFFSET('Smelter Look-up'!$C$4,$V614-4,0)&amp;"")</f>
        <v/>
      </c>
      <c r="S614" s="181" t="str">
        <f t="shared" ca="1" si="86"/>
        <v>DE</v>
      </c>
      <c r="T614" s="181" t="str">
        <f ca="1">IF(B614="","",IF(ISERROR(MATCH($J614,SorP!$B$1:$B$6226,0)),"",INDIRECT("'SorP'!$A$"&amp;MATCH($S614&amp;$J614,SorP!C:C,0))))</f>
        <v>DE-TH</v>
      </c>
      <c r="U614" s="201"/>
      <c r="V614" s="226" t="e">
        <f>IF(C614="",NA(),IF(OR(C614="Smelter not listed",C614="Smelter not yet identified"),MATCH($B614&amp;$D614,'Smelter Look-up'!$J:$J,0),MATCH($B614&amp;$C614,'Smelter Look-up'!$J:$J,0)))</f>
        <v>#N/A</v>
      </c>
      <c r="X614" s="227">
        <f t="shared" si="87"/>
        <v>0</v>
      </c>
      <c r="AB614" s="228" t="str">
        <f t="shared" si="88"/>
        <v>TantalumH.C. Starck Hermsdorf GmbH</v>
      </c>
    </row>
    <row r="615" spans="1:28" s="227" customFormat="1" ht="67.5">
      <c r="A615" s="301" t="s">
        <v>16386</v>
      </c>
      <c r="B615" s="293" t="s">
        <v>1121</v>
      </c>
      <c r="C615" s="294" t="s">
        <v>16387</v>
      </c>
      <c r="D615" s="295" t="s">
        <v>16387</v>
      </c>
      <c r="E615" s="293" t="s">
        <v>1091</v>
      </c>
      <c r="F615" s="293" t="s">
        <v>16386</v>
      </c>
      <c r="G615" s="293" t="s">
        <v>13217</v>
      </c>
      <c r="H615" s="302" t="s">
        <v>15880</v>
      </c>
      <c r="I615" s="297" t="s">
        <v>16388</v>
      </c>
      <c r="J615" s="297" t="s">
        <v>4206</v>
      </c>
      <c r="K615" s="298" t="s">
        <v>15855</v>
      </c>
      <c r="L615" s="298" t="s">
        <v>15855</v>
      </c>
      <c r="M615" s="298" t="s">
        <v>15855</v>
      </c>
      <c r="N615" s="298" t="s">
        <v>15855</v>
      </c>
      <c r="O615" s="298" t="s">
        <v>15855</v>
      </c>
      <c r="P615" s="299" t="s">
        <v>15857</v>
      </c>
      <c r="Q615" s="300" t="s">
        <v>15855</v>
      </c>
      <c r="R615" s="182" t="str">
        <f ca="1">IF(ISERROR($V615),"",OFFSET('Smelter Look-up'!$C$4,$V615-4,0)&amp;"")</f>
        <v/>
      </c>
      <c r="S615" s="181" t="str">
        <f t="shared" ca="1" si="86"/>
        <v>DE</v>
      </c>
      <c r="T615" s="181" t="str">
        <f ca="1">IF(B615="","",IF(ISERROR(MATCH($J615,SorP!$B$1:$B$6226,0)),"",INDIRECT("'SorP'!$A$"&amp;MATCH($S615&amp;$J615,SorP!C:C,0))))</f>
        <v>DE-TH</v>
      </c>
      <c r="U615" s="201"/>
      <c r="V615" s="226" t="e">
        <f>IF(C615="",NA(),IF(OR(C615="Smelter not listed",C615="Smelter not yet identified"),MATCH($B615&amp;$D615,'Smelter Look-up'!$J:$J,0),MATCH($B615&amp;$C615,'Smelter Look-up'!$J:$J,0)))</f>
        <v>#N/A</v>
      </c>
      <c r="X615" s="227">
        <f t="shared" si="87"/>
        <v>0</v>
      </c>
      <c r="AB615" s="228" t="str">
        <f t="shared" si="88"/>
        <v>TantalumH.C. Starck Hermsdorf GmbH</v>
      </c>
    </row>
    <row r="616" spans="1:28" s="227" customFormat="1" ht="67.5">
      <c r="A616" s="301" t="s">
        <v>16386</v>
      </c>
      <c r="B616" s="293" t="s">
        <v>1121</v>
      </c>
      <c r="C616" s="294" t="s">
        <v>16387</v>
      </c>
      <c r="D616" s="295" t="s">
        <v>16387</v>
      </c>
      <c r="E616" s="293" t="s">
        <v>1091</v>
      </c>
      <c r="F616" s="293" t="s">
        <v>16386</v>
      </c>
      <c r="G616" s="293" t="s">
        <v>13217</v>
      </c>
      <c r="H616" s="296" t="s">
        <v>16391</v>
      </c>
      <c r="I616" s="297" t="s">
        <v>16388</v>
      </c>
      <c r="J616" s="297" t="s">
        <v>4206</v>
      </c>
      <c r="K616" s="298" t="s">
        <v>16384</v>
      </c>
      <c r="L616" s="298" t="s">
        <v>16385</v>
      </c>
      <c r="M616" s="298" t="s">
        <v>16343</v>
      </c>
      <c r="N616" s="298" t="s">
        <v>16344</v>
      </c>
      <c r="O616" s="298" t="s">
        <v>16344</v>
      </c>
      <c r="P616" s="299" t="s">
        <v>15857</v>
      </c>
      <c r="Q616" s="300" t="s">
        <v>16345</v>
      </c>
      <c r="R616" s="182" t="str">
        <f ca="1">IF(ISERROR($V616),"",OFFSET('Smelter Look-up'!$C$4,$V616-4,0)&amp;"")</f>
        <v/>
      </c>
      <c r="S616" s="181" t="str">
        <f t="shared" ca="1" si="86"/>
        <v>DE</v>
      </c>
      <c r="T616" s="181" t="str">
        <f ca="1">IF(B616="","",IF(ISERROR(MATCH($J616,SorP!$B$1:$B$6226,0)),"",INDIRECT("'SorP'!$A$"&amp;MATCH($S616&amp;$J616,SorP!C:C,0))))</f>
        <v>DE-TH</v>
      </c>
      <c r="U616" s="201"/>
      <c r="V616" s="226" t="e">
        <f>IF(C616="",NA(),IF(OR(C616="Smelter not listed",C616="Smelter not yet identified"),MATCH($B616&amp;$D616,'Smelter Look-up'!$J:$J,0),MATCH($B616&amp;$C616,'Smelter Look-up'!$J:$J,0)))</f>
        <v>#N/A</v>
      </c>
      <c r="X616" s="227">
        <f t="shared" si="87"/>
        <v>0</v>
      </c>
      <c r="AB616" s="228" t="str">
        <f t="shared" si="88"/>
        <v>TantalumH.C. Starck Hermsdorf GmbH</v>
      </c>
    </row>
    <row r="617" spans="1:28" s="227" customFormat="1" ht="54">
      <c r="A617" s="301" t="s">
        <v>1407</v>
      </c>
      <c r="B617" s="293" t="s">
        <v>1121</v>
      </c>
      <c r="C617" s="294" t="s">
        <v>1406</v>
      </c>
      <c r="D617" s="295" t="s">
        <v>1406</v>
      </c>
      <c r="E617" s="293" t="s">
        <v>2415</v>
      </c>
      <c r="F617" s="293" t="s">
        <v>1407</v>
      </c>
      <c r="G617" s="293" t="s">
        <v>13217</v>
      </c>
      <c r="H617" s="296" t="s">
        <v>15855</v>
      </c>
      <c r="I617" s="297" t="s">
        <v>1738</v>
      </c>
      <c r="J617" s="297" t="s">
        <v>1617</v>
      </c>
      <c r="K617" s="298" t="s">
        <v>15855</v>
      </c>
      <c r="L617" s="298" t="s">
        <v>15855</v>
      </c>
      <c r="M617" s="298" t="s">
        <v>15855</v>
      </c>
      <c r="N617" s="298" t="s">
        <v>15855</v>
      </c>
      <c r="O617" s="298" t="s">
        <v>15855</v>
      </c>
      <c r="P617" s="299" t="s">
        <v>15857</v>
      </c>
      <c r="Q617" s="300" t="s">
        <v>15855</v>
      </c>
      <c r="R617" s="182" t="str">
        <f ca="1">IF(ISERROR($V617),"",OFFSET('Smelter Look-up'!$C$4,$V617-4,0)&amp;"")</f>
        <v>Materion Newton Inc.</v>
      </c>
      <c r="S617" s="181" t="str">
        <f t="shared" ca="1" si="86"/>
        <v>US</v>
      </c>
      <c r="T617" s="181" t="str">
        <f ca="1">IF(B617="","",IF(ISERROR(MATCH($J617,SorP!$B$1:$B$6226,0)),"",INDIRECT("'SorP'!$A$"&amp;MATCH($S617&amp;$J617,SorP!C:C,0))))</f>
        <v>US-MA</v>
      </c>
      <c r="U617" s="201"/>
      <c r="V617" s="226">
        <f>IF(C617="",NA(),IF(OR(C617="Smelter not listed",C617="Smelter not yet identified"),MATCH($B617&amp;$D617,'Smelter Look-up'!$J:$J,0),MATCH($B617&amp;$C617,'Smelter Look-up'!$J:$J,0)))</f>
        <v>345</v>
      </c>
      <c r="X617" s="227">
        <f t="shared" si="87"/>
        <v>0</v>
      </c>
      <c r="AB617" s="228" t="str">
        <f t="shared" si="88"/>
        <v>TantalumH.C. Starck Inc.</v>
      </c>
    </row>
    <row r="618" spans="1:28" s="227" customFormat="1" ht="54">
      <c r="A618" s="301" t="s">
        <v>1407</v>
      </c>
      <c r="B618" s="293" t="s">
        <v>1121</v>
      </c>
      <c r="C618" s="294" t="s">
        <v>1406</v>
      </c>
      <c r="D618" s="295" t="s">
        <v>1406</v>
      </c>
      <c r="E618" s="293" t="s">
        <v>2415</v>
      </c>
      <c r="F618" s="293" t="s">
        <v>1407</v>
      </c>
      <c r="G618" s="293" t="s">
        <v>13217</v>
      </c>
      <c r="H618" s="296" t="s">
        <v>15855</v>
      </c>
      <c r="I618" s="297" t="s">
        <v>1738</v>
      </c>
      <c r="J618" s="297" t="s">
        <v>1617</v>
      </c>
      <c r="K618" s="298" t="s">
        <v>16392</v>
      </c>
      <c r="L618" s="298" t="s">
        <v>16393</v>
      </c>
      <c r="M618" s="298" t="s">
        <v>15892</v>
      </c>
      <c r="N618" s="298" t="s">
        <v>16394</v>
      </c>
      <c r="O618" s="298" t="s">
        <v>16395</v>
      </c>
      <c r="P618" s="299" t="s">
        <v>15857</v>
      </c>
      <c r="Q618" s="300" t="s">
        <v>15855</v>
      </c>
      <c r="R618" s="182" t="str">
        <f ca="1">IF(ISERROR($V618),"",OFFSET('Smelter Look-up'!$C$4,$V618-4,0)&amp;"")</f>
        <v>Materion Newton Inc.</v>
      </c>
      <c r="S618" s="181" t="str">
        <f t="shared" ca="1" si="86"/>
        <v>US</v>
      </c>
      <c r="T618" s="181" t="str">
        <f ca="1">IF(B618="","",IF(ISERROR(MATCH($J618,SorP!$B$1:$B$6226,0)),"",INDIRECT("'SorP'!$A$"&amp;MATCH($S618&amp;$J618,SorP!C:C,0))))</f>
        <v>US-MA</v>
      </c>
      <c r="U618" s="201"/>
      <c r="V618" s="226">
        <f>IF(C618="",NA(),IF(OR(C618="Smelter not listed",C618="Smelter not yet identified"),MATCH($B618&amp;$D618,'Smelter Look-up'!$J:$J,0),MATCH($B618&amp;$C618,'Smelter Look-up'!$J:$J,0)))</f>
        <v>345</v>
      </c>
      <c r="X618" s="227">
        <f t="shared" si="87"/>
        <v>0</v>
      </c>
      <c r="AB618" s="228" t="str">
        <f t="shared" si="88"/>
        <v>TantalumH.C. Starck Inc.</v>
      </c>
    </row>
    <row r="619" spans="1:28" s="227" customFormat="1" ht="54">
      <c r="A619" s="301" t="s">
        <v>1407</v>
      </c>
      <c r="B619" s="293" t="s">
        <v>1121</v>
      </c>
      <c r="C619" s="294" t="s">
        <v>1406</v>
      </c>
      <c r="D619" s="295" t="s">
        <v>1406</v>
      </c>
      <c r="E619" s="293" t="s">
        <v>2415</v>
      </c>
      <c r="F619" s="293" t="s">
        <v>1407</v>
      </c>
      <c r="G619" s="293" t="s">
        <v>13217</v>
      </c>
      <c r="H619" s="302" t="s">
        <v>15880</v>
      </c>
      <c r="I619" s="297" t="s">
        <v>1738</v>
      </c>
      <c r="J619" s="297" t="s">
        <v>1617</v>
      </c>
      <c r="K619" s="298" t="s">
        <v>15855</v>
      </c>
      <c r="L619" s="298" t="s">
        <v>15855</v>
      </c>
      <c r="M619" s="298" t="s">
        <v>15855</v>
      </c>
      <c r="N619" s="298" t="s">
        <v>15855</v>
      </c>
      <c r="O619" s="298" t="s">
        <v>15855</v>
      </c>
      <c r="P619" s="299" t="s">
        <v>15857</v>
      </c>
      <c r="Q619" s="300" t="s">
        <v>15855</v>
      </c>
      <c r="R619" s="182" t="str">
        <f ca="1">IF(ISERROR($V619),"",OFFSET('Smelter Look-up'!$C$4,$V619-4,0)&amp;"")</f>
        <v>Materion Newton Inc.</v>
      </c>
      <c r="S619" s="181" t="str">
        <f t="shared" ca="1" si="86"/>
        <v>US</v>
      </c>
      <c r="T619" s="181" t="str">
        <f ca="1">IF(B619="","",IF(ISERROR(MATCH($J619,SorP!$B$1:$B$6226,0)),"",INDIRECT("'SorP'!$A$"&amp;MATCH($S619&amp;$J619,SorP!C:C,0))))</f>
        <v>US-MA</v>
      </c>
      <c r="U619" s="201"/>
      <c r="V619" s="226">
        <f>IF(C619="",NA(),IF(OR(C619="Smelter not listed",C619="Smelter not yet identified"),MATCH($B619&amp;$D619,'Smelter Look-up'!$J:$J,0),MATCH($B619&amp;$C619,'Smelter Look-up'!$J:$J,0)))</f>
        <v>345</v>
      </c>
      <c r="X619" s="227">
        <f t="shared" si="87"/>
        <v>0</v>
      </c>
      <c r="AB619" s="228" t="str">
        <f t="shared" si="88"/>
        <v>TantalumH.C. Starck Inc.</v>
      </c>
    </row>
    <row r="620" spans="1:28" s="227" customFormat="1" ht="54">
      <c r="A620" s="301" t="s">
        <v>1407</v>
      </c>
      <c r="B620" s="293" t="s">
        <v>1121</v>
      </c>
      <c r="C620" s="294" t="s">
        <v>1406</v>
      </c>
      <c r="D620" s="295" t="s">
        <v>1406</v>
      </c>
      <c r="E620" s="293" t="s">
        <v>2415</v>
      </c>
      <c r="F620" s="293" t="s">
        <v>1407</v>
      </c>
      <c r="G620" s="293" t="s">
        <v>13217</v>
      </c>
      <c r="H620" s="296" t="s">
        <v>16396</v>
      </c>
      <c r="I620" s="297" t="s">
        <v>1738</v>
      </c>
      <c r="J620" s="297" t="s">
        <v>1617</v>
      </c>
      <c r="K620" s="298" t="s">
        <v>16397</v>
      </c>
      <c r="L620" s="298" t="s">
        <v>16398</v>
      </c>
      <c r="M620" s="298" t="s">
        <v>16343</v>
      </c>
      <c r="N620" s="298" t="s">
        <v>16344</v>
      </c>
      <c r="O620" s="298" t="s">
        <v>16344</v>
      </c>
      <c r="P620" s="299" t="s">
        <v>15857</v>
      </c>
      <c r="Q620" s="300" t="s">
        <v>16345</v>
      </c>
      <c r="R620" s="182" t="str">
        <f ca="1">IF(ISERROR($V620),"",OFFSET('Smelter Look-up'!$C$4,$V620-4,0)&amp;"")</f>
        <v>Materion Newton Inc.</v>
      </c>
      <c r="S620" s="181" t="str">
        <f t="shared" ca="1" si="86"/>
        <v>US</v>
      </c>
      <c r="T620" s="181" t="str">
        <f ca="1">IF(B620="","",IF(ISERROR(MATCH($J620,SorP!$B$1:$B$6226,0)),"",INDIRECT("'SorP'!$A$"&amp;MATCH($S620&amp;$J620,SorP!C:C,0))))</f>
        <v>US-MA</v>
      </c>
      <c r="U620" s="201"/>
      <c r="V620" s="226">
        <f>IF(C620="",NA(),IF(OR(C620="Smelter not listed",C620="Smelter not yet identified"),MATCH($B620&amp;$D620,'Smelter Look-up'!$J:$J,0),MATCH($B620&amp;$C620,'Smelter Look-up'!$J:$J,0)))</f>
        <v>345</v>
      </c>
      <c r="X620" s="227">
        <f t="shared" si="87"/>
        <v>0</v>
      </c>
      <c r="AB620" s="228" t="str">
        <f t="shared" si="88"/>
        <v>TantalumH.C. Starck Inc.</v>
      </c>
    </row>
    <row r="621" spans="1:28" s="227" customFormat="1" ht="81">
      <c r="A621" s="301" t="s">
        <v>1410</v>
      </c>
      <c r="B621" s="293" t="s">
        <v>1121</v>
      </c>
      <c r="C621" s="294" t="s">
        <v>2317</v>
      </c>
      <c r="D621" s="295" t="s">
        <v>2317</v>
      </c>
      <c r="E621" s="293" t="s">
        <v>1091</v>
      </c>
      <c r="F621" s="293" t="s">
        <v>1410</v>
      </c>
      <c r="G621" s="293" t="s">
        <v>13217</v>
      </c>
      <c r="H621" s="296" t="s">
        <v>16399</v>
      </c>
      <c r="I621" s="297" t="s">
        <v>1737</v>
      </c>
      <c r="J621" s="297" t="s">
        <v>1536</v>
      </c>
      <c r="K621" s="298" t="s">
        <v>16384</v>
      </c>
      <c r="L621" s="298" t="s">
        <v>16400</v>
      </c>
      <c r="M621" s="298" t="s">
        <v>16343</v>
      </c>
      <c r="N621" s="298" t="s">
        <v>16344</v>
      </c>
      <c r="O621" s="298" t="s">
        <v>16344</v>
      </c>
      <c r="P621" s="299" t="s">
        <v>15857</v>
      </c>
      <c r="Q621" s="300" t="s">
        <v>16345</v>
      </c>
      <c r="R621" s="182" t="str">
        <f ca="1">IF(ISERROR($V621),"",OFFSET('Smelter Look-up'!$C$4,$V621-4,0)&amp;"")</f>
        <v>TANIOBIS Smelting GmbH &amp; Co. KG</v>
      </c>
      <c r="S621" s="181" t="str">
        <f t="shared" ca="1" si="86"/>
        <v>DE</v>
      </c>
      <c r="T621" s="181" t="str">
        <f ca="1">IF(B621="","",IF(ISERROR(MATCH($J621,SorP!$B$1:$B$6226,0)),"",INDIRECT("'SorP'!$A$"&amp;MATCH($S621&amp;$J621,SorP!C:C,0))))</f>
        <v>DE-BW</v>
      </c>
      <c r="U621" s="201"/>
      <c r="V621" s="226">
        <f>IF(C621="",NA(),IF(OR(C621="Smelter not listed",C621="Smelter not yet identified"),MATCH($B621&amp;$D621,'Smelter Look-up'!$J:$J,0),MATCH($B621&amp;$C621,'Smelter Look-up'!$J:$J,0)))</f>
        <v>347</v>
      </c>
      <c r="X621" s="227">
        <f t="shared" si="87"/>
        <v>0</v>
      </c>
      <c r="AB621" s="228" t="str">
        <f t="shared" si="88"/>
        <v>TantalumH.C. Starck Smelting GmbH &amp; Co. KG</v>
      </c>
    </row>
    <row r="622" spans="1:28" s="227" customFormat="1" ht="81">
      <c r="A622" s="301" t="s">
        <v>1410</v>
      </c>
      <c r="B622" s="293" t="s">
        <v>1121</v>
      </c>
      <c r="C622" s="294" t="s">
        <v>15050</v>
      </c>
      <c r="D622" s="295" t="s">
        <v>2317</v>
      </c>
      <c r="E622" s="293" t="s">
        <v>1091</v>
      </c>
      <c r="F622" s="293" t="s">
        <v>1410</v>
      </c>
      <c r="G622" s="293" t="s">
        <v>13217</v>
      </c>
      <c r="H622" s="296" t="s">
        <v>15855</v>
      </c>
      <c r="I622" s="297" t="s">
        <v>1737</v>
      </c>
      <c r="J622" s="297" t="s">
        <v>1536</v>
      </c>
      <c r="K622" s="298" t="s">
        <v>15855</v>
      </c>
      <c r="L622" s="298" t="s">
        <v>15855</v>
      </c>
      <c r="M622" s="298" t="s">
        <v>15855</v>
      </c>
      <c r="N622" s="298" t="s">
        <v>15855</v>
      </c>
      <c r="O622" s="298" t="s">
        <v>16401</v>
      </c>
      <c r="P622" s="299" t="s">
        <v>15857</v>
      </c>
      <c r="Q622" s="300" t="s">
        <v>15855</v>
      </c>
      <c r="R622" s="182" t="str">
        <f ca="1">IF(ISERROR($V622),"",OFFSET('Smelter Look-up'!$C$4,$V622-4,0)&amp;"")</f>
        <v>TANIOBIS Smelting GmbH &amp; Co. KG</v>
      </c>
      <c r="S622" s="181" t="str">
        <f t="shared" ca="1" si="86"/>
        <v>DE</v>
      </c>
      <c r="T622" s="181" t="str">
        <f ca="1">IF(B622="","",IF(ISERROR(MATCH($J622,SorP!$B$1:$B$6226,0)),"",INDIRECT("'SorP'!$A$"&amp;MATCH($S622&amp;$J622,SorP!C:C,0))))</f>
        <v>DE-BW</v>
      </c>
      <c r="U622" s="201"/>
      <c r="V622" s="226">
        <f>IF(C622="",NA(),IF(OR(C622="Smelter not listed",C622="Smelter not yet identified"),MATCH($B622&amp;$D622,'Smelter Look-up'!$J:$J,0),MATCH($B622&amp;$C622,'Smelter Look-up'!$J:$J,0)))</f>
        <v>387</v>
      </c>
      <c r="X622" s="227">
        <f t="shared" si="87"/>
        <v>0</v>
      </c>
      <c r="AB622" s="228" t="str">
        <f t="shared" si="88"/>
        <v>TantalumTANIOBIS Smelting GmbH &amp; Co. KG</v>
      </c>
    </row>
    <row r="623" spans="1:28" s="227" customFormat="1" ht="94.5">
      <c r="A623" s="301" t="s">
        <v>1405</v>
      </c>
      <c r="B623" s="293" t="s">
        <v>1121</v>
      </c>
      <c r="C623" s="294" t="s">
        <v>2507</v>
      </c>
      <c r="D623" s="295" t="s">
        <v>2507</v>
      </c>
      <c r="E623" s="293" t="s">
        <v>1091</v>
      </c>
      <c r="F623" s="293" t="s">
        <v>1405</v>
      </c>
      <c r="G623" s="293" t="s">
        <v>13217</v>
      </c>
      <c r="H623" s="296" t="s">
        <v>16402</v>
      </c>
      <c r="I623" s="297" t="s">
        <v>1736</v>
      </c>
      <c r="J623" s="297" t="s">
        <v>4228</v>
      </c>
      <c r="K623" s="298" t="s">
        <v>16384</v>
      </c>
      <c r="L623" s="298" t="s">
        <v>16400</v>
      </c>
      <c r="M623" s="298" t="s">
        <v>16343</v>
      </c>
      <c r="N623" s="298" t="s">
        <v>16344</v>
      </c>
      <c r="O623" s="298" t="s">
        <v>16344</v>
      </c>
      <c r="P623" s="299" t="s">
        <v>15857</v>
      </c>
      <c r="Q623" s="300" t="s">
        <v>16345</v>
      </c>
      <c r="R623" s="182" t="str">
        <f ca="1">IF(ISERROR($V623),"",OFFSET('Smelter Look-up'!$C$4,$V623-4,0)&amp;"")</f>
        <v>TANIOBIS GmbH</v>
      </c>
      <c r="S623" s="181" t="str">
        <f t="shared" ca="1" si="86"/>
        <v>DE</v>
      </c>
      <c r="T623" s="181" t="str">
        <f ca="1">IF(B623="","",IF(ISERROR(MATCH($J623,SorP!$B$1:$B$6226,0)),"",INDIRECT("'SorP'!$A$"&amp;MATCH($S623&amp;$J623,SorP!C:C,0))))</f>
        <v>DE-NI</v>
      </c>
      <c r="U623" s="201"/>
      <c r="V623" s="226">
        <f>IF(C623="",NA(),IF(OR(C623="Smelter not listed",C623="Smelter not yet identified"),MATCH($B623&amp;$D623,'Smelter Look-up'!$J:$J,0),MATCH($B623&amp;$C623,'Smelter Look-up'!$J:$J,0)))</f>
        <v>348</v>
      </c>
      <c r="X623" s="227">
        <f t="shared" si="87"/>
        <v>0</v>
      </c>
      <c r="AB623" s="228" t="str">
        <f t="shared" si="88"/>
        <v>TantalumH.C. Starck Tantalum and Niobium GmbH</v>
      </c>
    </row>
    <row r="624" spans="1:28" s="227" customFormat="1" ht="67.5">
      <c r="A624" s="301" t="s">
        <v>1405</v>
      </c>
      <c r="B624" s="293" t="s">
        <v>1121</v>
      </c>
      <c r="C624" s="294" t="s">
        <v>15051</v>
      </c>
      <c r="D624" s="295" t="s">
        <v>2507</v>
      </c>
      <c r="E624" s="293" t="s">
        <v>1091</v>
      </c>
      <c r="F624" s="293" t="s">
        <v>1405</v>
      </c>
      <c r="G624" s="293" t="s">
        <v>13217</v>
      </c>
      <c r="H624" s="296" t="s">
        <v>15855</v>
      </c>
      <c r="I624" s="297" t="s">
        <v>1736</v>
      </c>
      <c r="J624" s="297" t="s">
        <v>4228</v>
      </c>
      <c r="K624" s="298" t="s">
        <v>15855</v>
      </c>
      <c r="L624" s="298" t="s">
        <v>15855</v>
      </c>
      <c r="M624" s="298" t="s">
        <v>15855</v>
      </c>
      <c r="N624" s="298" t="s">
        <v>15855</v>
      </c>
      <c r="O624" s="298" t="s">
        <v>16401</v>
      </c>
      <c r="P624" s="299" t="s">
        <v>15857</v>
      </c>
      <c r="Q624" s="300" t="s">
        <v>15855</v>
      </c>
      <c r="R624" s="182" t="str">
        <f ca="1">IF(ISERROR($V624),"",OFFSET('Smelter Look-up'!$C$4,$V624-4,0)&amp;"")</f>
        <v>TANIOBIS GmbH</v>
      </c>
      <c r="S624" s="181" t="str">
        <f t="shared" ca="1" si="86"/>
        <v>DE</v>
      </c>
      <c r="T624" s="181" t="str">
        <f ca="1">IF(B624="","",IF(ISERROR(MATCH($J624,SorP!$B$1:$B$6226,0)),"",INDIRECT("'SorP'!$A$"&amp;MATCH($S624&amp;$J624,SorP!C:C,0))))</f>
        <v>DE-NI</v>
      </c>
      <c r="U624" s="201"/>
      <c r="V624" s="226">
        <f>IF(C624="",NA(),IF(OR(C624="Smelter not listed",C624="Smelter not yet identified"),MATCH($B624&amp;$D624,'Smelter Look-up'!$J:$J,0),MATCH($B624&amp;$C624,'Smelter Look-up'!$J:$J,0)))</f>
        <v>385</v>
      </c>
      <c r="X624" s="227">
        <f t="shared" si="87"/>
        <v>0</v>
      </c>
      <c r="AB624" s="228" t="str">
        <f t="shared" si="88"/>
        <v>TantalumTANIOBIS GmbH</v>
      </c>
    </row>
    <row r="625" spans="1:28" s="227" customFormat="1" ht="108">
      <c r="A625" s="301" t="s">
        <v>392</v>
      </c>
      <c r="B625" s="293" t="s">
        <v>1121</v>
      </c>
      <c r="C625" s="294" t="s">
        <v>1</v>
      </c>
      <c r="D625" s="295" t="s">
        <v>1</v>
      </c>
      <c r="E625" s="293" t="s">
        <v>1090</v>
      </c>
      <c r="F625" s="293" t="s">
        <v>392</v>
      </c>
      <c r="G625" s="293" t="s">
        <v>13217</v>
      </c>
      <c r="H625" s="296" t="s">
        <v>15855</v>
      </c>
      <c r="I625" s="297" t="s">
        <v>1728</v>
      </c>
      <c r="J625" s="297" t="s">
        <v>13600</v>
      </c>
      <c r="K625" s="298" t="s">
        <v>15855</v>
      </c>
      <c r="L625" s="298" t="s">
        <v>15855</v>
      </c>
      <c r="M625" s="298" t="s">
        <v>15855</v>
      </c>
      <c r="N625" s="298" t="s">
        <v>15855</v>
      </c>
      <c r="O625" s="298" t="s">
        <v>15855</v>
      </c>
      <c r="P625" s="299" t="s">
        <v>15857</v>
      </c>
      <c r="Q625" s="300" t="s">
        <v>15855</v>
      </c>
      <c r="R625" s="182" t="str">
        <f ca="1">IF(ISERROR($V625),"",OFFSET('Smelter Look-up'!$C$4,$V625-4,0)&amp;"")</f>
        <v>Hengyang King Xing Lifeng New Materials Co., Ltd.</v>
      </c>
      <c r="S625" s="181" t="str">
        <f t="shared" ca="1" si="86"/>
        <v>CN</v>
      </c>
      <c r="T625" s="181" t="str">
        <f ca="1">IF(B625="","",IF(ISERROR(MATCH($J625,SorP!$B$1:$B$6226,0)),"",INDIRECT("'SorP'!$A$"&amp;MATCH($S625&amp;$J625,SorP!C:C,0))))</f>
        <v>CN-HN</v>
      </c>
      <c r="U625" s="201"/>
      <c r="V625" s="226">
        <f>IF(C625="",NA(),IF(OR(C625="Smelter not listed",C625="Smelter not yet identified"),MATCH($B625&amp;$D625,'Smelter Look-up'!$J:$J,0),MATCH($B625&amp;$C625,'Smelter Look-up'!$J:$J,0)))</f>
        <v>349</v>
      </c>
      <c r="X625" s="227">
        <f t="shared" si="87"/>
        <v>0</v>
      </c>
      <c r="AB625" s="228" t="str">
        <f t="shared" si="88"/>
        <v>TantalumHengyang King Xing Lifeng New Materials Co., Ltd.</v>
      </c>
    </row>
    <row r="626" spans="1:28" s="227" customFormat="1" ht="108">
      <c r="A626" s="301" t="s">
        <v>392</v>
      </c>
      <c r="B626" s="293" t="s">
        <v>1121</v>
      </c>
      <c r="C626" s="294" t="s">
        <v>1</v>
      </c>
      <c r="D626" s="295" t="s">
        <v>1</v>
      </c>
      <c r="E626" s="293" t="s">
        <v>1090</v>
      </c>
      <c r="F626" s="293" t="s">
        <v>392</v>
      </c>
      <c r="G626" s="293" t="s">
        <v>13217</v>
      </c>
      <c r="H626" s="296" t="s">
        <v>15855</v>
      </c>
      <c r="I626" s="297" t="s">
        <v>1728</v>
      </c>
      <c r="J626" s="297" t="s">
        <v>13600</v>
      </c>
      <c r="K626" s="298" t="s">
        <v>15855</v>
      </c>
      <c r="L626" s="298" t="s">
        <v>15855</v>
      </c>
      <c r="M626" s="298" t="s">
        <v>15855</v>
      </c>
      <c r="N626" s="298" t="s">
        <v>15855</v>
      </c>
      <c r="O626" s="298" t="s">
        <v>15858</v>
      </c>
      <c r="P626" s="299" t="s">
        <v>15857</v>
      </c>
      <c r="Q626" s="300" t="s">
        <v>15855</v>
      </c>
      <c r="R626" s="182" t="str">
        <f ca="1">IF(ISERROR($V626),"",OFFSET('Smelter Look-up'!$C$4,$V626-4,0)&amp;"")</f>
        <v>Hengyang King Xing Lifeng New Materials Co., Ltd.</v>
      </c>
      <c r="S626" s="181" t="str">
        <f t="shared" ca="1" si="86"/>
        <v>CN</v>
      </c>
      <c r="T626" s="181" t="str">
        <f ca="1">IF(B626="","",IF(ISERROR(MATCH($J626,SorP!$B$1:$B$6226,0)),"",INDIRECT("'SorP'!$A$"&amp;MATCH($S626&amp;$J626,SorP!C:C,0))))</f>
        <v>CN-HN</v>
      </c>
      <c r="U626" s="201"/>
      <c r="V626" s="226">
        <f>IF(C626="",NA(),IF(OR(C626="Smelter not listed",C626="Smelter not yet identified"),MATCH($B626&amp;$D626,'Smelter Look-up'!$J:$J,0),MATCH($B626&amp;$C626,'Smelter Look-up'!$J:$J,0)))</f>
        <v>349</v>
      </c>
      <c r="X626" s="227">
        <f t="shared" si="87"/>
        <v>0</v>
      </c>
      <c r="AB626" s="228" t="str">
        <f t="shared" si="88"/>
        <v>TantalumHengyang King Xing Lifeng New Materials Co., Ltd.</v>
      </c>
    </row>
    <row r="627" spans="1:28" s="227" customFormat="1" ht="108">
      <c r="A627" s="301" t="s">
        <v>392</v>
      </c>
      <c r="B627" s="293" t="s">
        <v>1121</v>
      </c>
      <c r="C627" s="294" t="s">
        <v>1</v>
      </c>
      <c r="D627" s="295" t="s">
        <v>1</v>
      </c>
      <c r="E627" s="293" t="s">
        <v>1090</v>
      </c>
      <c r="F627" s="293" t="s">
        <v>392</v>
      </c>
      <c r="G627" s="293" t="s">
        <v>13217</v>
      </c>
      <c r="H627" s="296" t="s">
        <v>15855</v>
      </c>
      <c r="I627" s="297" t="s">
        <v>1728</v>
      </c>
      <c r="J627" s="297" t="s">
        <v>13600</v>
      </c>
      <c r="K627" s="298" t="s">
        <v>16403</v>
      </c>
      <c r="L627" s="298" t="s">
        <v>16404</v>
      </c>
      <c r="M627" s="298" t="s">
        <v>16405</v>
      </c>
      <c r="N627" s="298" t="s">
        <v>16406</v>
      </c>
      <c r="O627" s="298" t="s">
        <v>16407</v>
      </c>
      <c r="P627" s="299" t="s">
        <v>15857</v>
      </c>
      <c r="Q627" s="300" t="s">
        <v>15855</v>
      </c>
      <c r="R627" s="182" t="str">
        <f ca="1">IF(ISERROR($V627),"",OFFSET('Smelter Look-up'!$C$4,$V627-4,0)&amp;"")</f>
        <v>Hengyang King Xing Lifeng New Materials Co., Ltd.</v>
      </c>
      <c r="S627" s="181" t="str">
        <f t="shared" ca="1" si="86"/>
        <v>CN</v>
      </c>
      <c r="T627" s="181" t="str">
        <f ca="1">IF(B627="","",IF(ISERROR(MATCH($J627,SorP!$B$1:$B$6226,0)),"",INDIRECT("'SorP'!$A$"&amp;MATCH($S627&amp;$J627,SorP!C:C,0))))</f>
        <v>CN-HN</v>
      </c>
      <c r="U627" s="201"/>
      <c r="V627" s="226">
        <f>IF(C627="",NA(),IF(OR(C627="Smelter not listed",C627="Smelter not yet identified"),MATCH($B627&amp;$D627,'Smelter Look-up'!$J:$J,0),MATCH($B627&amp;$C627,'Smelter Look-up'!$J:$J,0)))</f>
        <v>349</v>
      </c>
      <c r="X627" s="227">
        <f t="shared" si="87"/>
        <v>0</v>
      </c>
      <c r="AB627" s="228" t="str">
        <f t="shared" si="88"/>
        <v>TantalumHengyang King Xing Lifeng New Materials Co., Ltd.</v>
      </c>
    </row>
    <row r="628" spans="1:28" s="227" customFormat="1" ht="108">
      <c r="A628" s="301" t="s">
        <v>392</v>
      </c>
      <c r="B628" s="293" t="s">
        <v>1121</v>
      </c>
      <c r="C628" s="294" t="s">
        <v>1</v>
      </c>
      <c r="D628" s="295" t="s">
        <v>1</v>
      </c>
      <c r="E628" s="293" t="s">
        <v>1090</v>
      </c>
      <c r="F628" s="293" t="s">
        <v>392</v>
      </c>
      <c r="G628" s="293" t="s">
        <v>13217</v>
      </c>
      <c r="H628" s="302" t="s">
        <v>15880</v>
      </c>
      <c r="I628" s="297" t="s">
        <v>1728</v>
      </c>
      <c r="J628" s="297" t="s">
        <v>13600</v>
      </c>
      <c r="K628" s="298" t="s">
        <v>15855</v>
      </c>
      <c r="L628" s="298" t="s">
        <v>15855</v>
      </c>
      <c r="M628" s="298" t="s">
        <v>15855</v>
      </c>
      <c r="N628" s="298" t="s">
        <v>15855</v>
      </c>
      <c r="O628" s="298" t="s">
        <v>15855</v>
      </c>
      <c r="P628" s="299" t="s">
        <v>15857</v>
      </c>
      <c r="Q628" s="300" t="s">
        <v>15855</v>
      </c>
      <c r="R628" s="182" t="str">
        <f ca="1">IF(ISERROR($V628),"",OFFSET('Smelter Look-up'!$C$4,$V628-4,0)&amp;"")</f>
        <v>Hengyang King Xing Lifeng New Materials Co., Ltd.</v>
      </c>
      <c r="S628" s="181" t="str">
        <f t="shared" ca="1" si="86"/>
        <v>CN</v>
      </c>
      <c r="T628" s="181" t="str">
        <f ca="1">IF(B628="","",IF(ISERROR(MATCH($J628,SorP!$B$1:$B$6226,0)),"",INDIRECT("'SorP'!$A$"&amp;MATCH($S628&amp;$J628,SorP!C:C,0))))</f>
        <v>CN-HN</v>
      </c>
      <c r="U628" s="201"/>
      <c r="V628" s="226">
        <f>IF(C628="",NA(),IF(OR(C628="Smelter not listed",C628="Smelter not yet identified"),MATCH($B628&amp;$D628,'Smelter Look-up'!$J:$J,0),MATCH($B628&amp;$C628,'Smelter Look-up'!$J:$J,0)))</f>
        <v>349</v>
      </c>
      <c r="X628" s="227">
        <f t="shared" si="87"/>
        <v>0</v>
      </c>
      <c r="AB628" s="228" t="str">
        <f t="shared" si="88"/>
        <v>TantalumHengyang King Xing Lifeng New Materials Co., Ltd.</v>
      </c>
    </row>
    <row r="629" spans="1:28" s="227" customFormat="1" ht="108">
      <c r="A629" s="301" t="s">
        <v>392</v>
      </c>
      <c r="B629" s="293" t="s">
        <v>1121</v>
      </c>
      <c r="C629" s="294" t="s">
        <v>1</v>
      </c>
      <c r="D629" s="295" t="s">
        <v>1</v>
      </c>
      <c r="E629" s="293" t="s">
        <v>1090</v>
      </c>
      <c r="F629" s="293" t="s">
        <v>392</v>
      </c>
      <c r="G629" s="293" t="s">
        <v>13217</v>
      </c>
      <c r="H629" s="296" t="s">
        <v>16408</v>
      </c>
      <c r="I629" s="297" t="s">
        <v>1728</v>
      </c>
      <c r="J629" s="297" t="s">
        <v>13600</v>
      </c>
      <c r="K629" s="298" t="s">
        <v>16403</v>
      </c>
      <c r="L629" s="298" t="s">
        <v>16404</v>
      </c>
      <c r="M629" s="298" t="s">
        <v>16343</v>
      </c>
      <c r="N629" s="298" t="s">
        <v>16344</v>
      </c>
      <c r="O629" s="298" t="s">
        <v>16344</v>
      </c>
      <c r="P629" s="299" t="s">
        <v>15857</v>
      </c>
      <c r="Q629" s="300" t="s">
        <v>16345</v>
      </c>
      <c r="R629" s="182" t="str">
        <f ca="1">IF(ISERROR($V629),"",OFFSET('Smelter Look-up'!$C$4,$V629-4,0)&amp;"")</f>
        <v>Hengyang King Xing Lifeng New Materials Co., Ltd.</v>
      </c>
      <c r="S629" s="181" t="str">
        <f t="shared" ca="1" si="86"/>
        <v>CN</v>
      </c>
      <c r="T629" s="181" t="str">
        <f ca="1">IF(B629="","",IF(ISERROR(MATCH($J629,SorP!$B$1:$B$6226,0)),"",INDIRECT("'SorP'!$A$"&amp;MATCH($S629&amp;$J629,SorP!C:C,0))))</f>
        <v>CN-HN</v>
      </c>
      <c r="U629" s="201"/>
      <c r="V629" s="226">
        <f>IF(C629="",NA(),IF(OR(C629="Smelter not listed",C629="Smelter not yet identified"),MATCH($B629&amp;$D629,'Smelter Look-up'!$J:$J,0),MATCH($B629&amp;$C629,'Smelter Look-up'!$J:$J,0)))</f>
        <v>349</v>
      </c>
      <c r="X629" s="227">
        <f t="shared" si="87"/>
        <v>0</v>
      </c>
      <c r="AB629" s="228" t="str">
        <f t="shared" si="88"/>
        <v>TantalumHengyang King Xing Lifeng New Materials Co., Ltd.</v>
      </c>
    </row>
    <row r="630" spans="1:28" s="227" customFormat="1" ht="94.5">
      <c r="A630" s="301" t="s">
        <v>1386</v>
      </c>
      <c r="B630" s="293" t="s">
        <v>1121</v>
      </c>
      <c r="C630" s="294" t="s">
        <v>2156</v>
      </c>
      <c r="D630" s="295" t="s">
        <v>2156</v>
      </c>
      <c r="E630" s="293" t="s">
        <v>1090</v>
      </c>
      <c r="F630" s="293" t="s">
        <v>1386</v>
      </c>
      <c r="G630" s="293" t="s">
        <v>13217</v>
      </c>
      <c r="H630" s="296" t="s">
        <v>15855</v>
      </c>
      <c r="I630" s="297" t="s">
        <v>1731</v>
      </c>
      <c r="J630" s="297" t="s">
        <v>13596</v>
      </c>
      <c r="K630" s="298" t="s">
        <v>15855</v>
      </c>
      <c r="L630" s="298" t="s">
        <v>15855</v>
      </c>
      <c r="M630" s="298" t="s">
        <v>15855</v>
      </c>
      <c r="N630" s="298" t="s">
        <v>15855</v>
      </c>
      <c r="O630" s="298" t="s">
        <v>15855</v>
      </c>
      <c r="P630" s="299" t="s">
        <v>15857</v>
      </c>
      <c r="Q630" s="300" t="s">
        <v>15855</v>
      </c>
      <c r="R630" s="182" t="str">
        <f ca="1">IF(ISERROR($V630),"",OFFSET('Smelter Look-up'!$C$4,$V630-4,0)&amp;"")</f>
        <v>Jiangxi Dinghai Tantalum &amp; Niobium Co., Ltd.</v>
      </c>
      <c r="S630" s="181" t="str">
        <f t="shared" ca="1" si="86"/>
        <v>CN</v>
      </c>
      <c r="T630" s="181" t="str">
        <f ca="1">IF(B630="","",IF(ISERROR(MATCH($J630,SorP!$B$1:$B$6226,0)),"",INDIRECT("'SorP'!$A$"&amp;MATCH($S630&amp;$J630,SorP!C:C,0))))</f>
        <v>CN-JX</v>
      </c>
      <c r="U630" s="201"/>
      <c r="V630" s="226">
        <f>IF(C630="",NA(),IF(OR(C630="Smelter not listed",C630="Smelter not yet identified"),MATCH($B630&amp;$D630,'Smelter Look-up'!$J:$J,0),MATCH($B630&amp;$C630,'Smelter Look-up'!$J:$J,0)))</f>
        <v>350</v>
      </c>
      <c r="X630" s="227">
        <f t="shared" si="87"/>
        <v>0</v>
      </c>
      <c r="AB630" s="228" t="str">
        <f t="shared" si="88"/>
        <v>TantalumJiangxi Dinghai Tantalum &amp; Niobium Co., Ltd.</v>
      </c>
    </row>
    <row r="631" spans="1:28" s="227" customFormat="1" ht="94.5">
      <c r="A631" s="301" t="s">
        <v>1386</v>
      </c>
      <c r="B631" s="293" t="s">
        <v>1121</v>
      </c>
      <c r="C631" s="294" t="s">
        <v>2156</v>
      </c>
      <c r="D631" s="295" t="s">
        <v>2156</v>
      </c>
      <c r="E631" s="293" t="s">
        <v>1090</v>
      </c>
      <c r="F631" s="293" t="s">
        <v>1386</v>
      </c>
      <c r="G631" s="293" t="s">
        <v>13217</v>
      </c>
      <c r="H631" s="296" t="s">
        <v>15855</v>
      </c>
      <c r="I631" s="297" t="s">
        <v>1731</v>
      </c>
      <c r="J631" s="297" t="s">
        <v>13596</v>
      </c>
      <c r="K631" s="298" t="s">
        <v>15855</v>
      </c>
      <c r="L631" s="298" t="s">
        <v>15855</v>
      </c>
      <c r="M631" s="298" t="s">
        <v>15855</v>
      </c>
      <c r="N631" s="298" t="s">
        <v>15855</v>
      </c>
      <c r="O631" s="298" t="s">
        <v>15858</v>
      </c>
      <c r="P631" s="299" t="s">
        <v>15857</v>
      </c>
      <c r="Q631" s="300" t="s">
        <v>15855</v>
      </c>
      <c r="R631" s="182" t="str">
        <f ca="1">IF(ISERROR($V631),"",OFFSET('Smelter Look-up'!$C$4,$V631-4,0)&amp;"")</f>
        <v>Jiangxi Dinghai Tantalum &amp; Niobium Co., Ltd.</v>
      </c>
      <c r="S631" s="181" t="str">
        <f t="shared" ca="1" si="86"/>
        <v>CN</v>
      </c>
      <c r="T631" s="181" t="str">
        <f ca="1">IF(B631="","",IF(ISERROR(MATCH($J631,SorP!$B$1:$B$6226,0)),"",INDIRECT("'SorP'!$A$"&amp;MATCH($S631&amp;$J631,SorP!C:C,0))))</f>
        <v>CN-JX</v>
      </c>
      <c r="U631" s="201"/>
      <c r="V631" s="226">
        <f>IF(C631="",NA(),IF(OR(C631="Smelter not listed",C631="Smelter not yet identified"),MATCH($B631&amp;$D631,'Smelter Look-up'!$J:$J,0),MATCH($B631&amp;$C631,'Smelter Look-up'!$J:$J,0)))</f>
        <v>350</v>
      </c>
      <c r="X631" s="227">
        <f t="shared" si="87"/>
        <v>0</v>
      </c>
      <c r="AB631" s="228" t="str">
        <f t="shared" si="88"/>
        <v>TantalumJiangxi Dinghai Tantalum &amp; Niobium Co., Ltd.</v>
      </c>
    </row>
    <row r="632" spans="1:28" s="227" customFormat="1" ht="94.5">
      <c r="A632" s="301" t="s">
        <v>1386</v>
      </c>
      <c r="B632" s="293" t="s">
        <v>1121</v>
      </c>
      <c r="C632" s="294" t="s">
        <v>2156</v>
      </c>
      <c r="D632" s="295" t="s">
        <v>2156</v>
      </c>
      <c r="E632" s="293" t="s">
        <v>1090</v>
      </c>
      <c r="F632" s="293" t="s">
        <v>1386</v>
      </c>
      <c r="G632" s="293" t="s">
        <v>13217</v>
      </c>
      <c r="H632" s="296" t="s">
        <v>15855</v>
      </c>
      <c r="I632" s="297" t="s">
        <v>1731</v>
      </c>
      <c r="J632" s="297" t="s">
        <v>13596</v>
      </c>
      <c r="K632" s="298" t="s">
        <v>16409</v>
      </c>
      <c r="L632" s="298" t="s">
        <v>16410</v>
      </c>
      <c r="M632" s="298" t="s">
        <v>15869</v>
      </c>
      <c r="N632" s="298" t="s">
        <v>16406</v>
      </c>
      <c r="O632" s="298" t="s">
        <v>16411</v>
      </c>
      <c r="P632" s="299" t="s">
        <v>15857</v>
      </c>
      <c r="Q632" s="300" t="s">
        <v>15855</v>
      </c>
      <c r="R632" s="182" t="str">
        <f ca="1">IF(ISERROR($V632),"",OFFSET('Smelter Look-up'!$C$4,$V632-4,0)&amp;"")</f>
        <v>Jiangxi Dinghai Tantalum &amp; Niobium Co., Ltd.</v>
      </c>
      <c r="S632" s="181" t="str">
        <f t="shared" ca="1" si="86"/>
        <v>CN</v>
      </c>
      <c r="T632" s="181" t="str">
        <f ca="1">IF(B632="","",IF(ISERROR(MATCH($J632,SorP!$B$1:$B$6226,0)),"",INDIRECT("'SorP'!$A$"&amp;MATCH($S632&amp;$J632,SorP!C:C,0))))</f>
        <v>CN-JX</v>
      </c>
      <c r="U632" s="201"/>
      <c r="V632" s="226">
        <f>IF(C632="",NA(),IF(OR(C632="Smelter not listed",C632="Smelter not yet identified"),MATCH($B632&amp;$D632,'Smelter Look-up'!$J:$J,0),MATCH($B632&amp;$C632,'Smelter Look-up'!$J:$J,0)))</f>
        <v>350</v>
      </c>
      <c r="X632" s="227">
        <f t="shared" si="87"/>
        <v>0</v>
      </c>
      <c r="AB632" s="228" t="str">
        <f t="shared" si="88"/>
        <v>TantalumJiangxi Dinghai Tantalum &amp; Niobium Co., Ltd.</v>
      </c>
    </row>
    <row r="633" spans="1:28" s="227" customFormat="1" ht="94.5">
      <c r="A633" s="301" t="s">
        <v>1386</v>
      </c>
      <c r="B633" s="293" t="s">
        <v>1121</v>
      </c>
      <c r="C633" s="294" t="s">
        <v>2156</v>
      </c>
      <c r="D633" s="295" t="s">
        <v>2156</v>
      </c>
      <c r="E633" s="293" t="s">
        <v>1090</v>
      </c>
      <c r="F633" s="293" t="s">
        <v>1386</v>
      </c>
      <c r="G633" s="293" t="s">
        <v>13217</v>
      </c>
      <c r="H633" s="302" t="s">
        <v>15880</v>
      </c>
      <c r="I633" s="297" t="s">
        <v>1731</v>
      </c>
      <c r="J633" s="297" t="s">
        <v>13596</v>
      </c>
      <c r="K633" s="298" t="s">
        <v>15855</v>
      </c>
      <c r="L633" s="298" t="s">
        <v>15855</v>
      </c>
      <c r="M633" s="298" t="s">
        <v>15855</v>
      </c>
      <c r="N633" s="298" t="s">
        <v>15855</v>
      </c>
      <c r="O633" s="298" t="s">
        <v>15855</v>
      </c>
      <c r="P633" s="299" t="s">
        <v>15857</v>
      </c>
      <c r="Q633" s="300" t="s">
        <v>15855</v>
      </c>
      <c r="R633" s="182" t="str">
        <f ca="1">IF(ISERROR($V633),"",OFFSET('Smelter Look-up'!$C$4,$V633-4,0)&amp;"")</f>
        <v>Jiangxi Dinghai Tantalum &amp; Niobium Co., Ltd.</v>
      </c>
      <c r="S633" s="181" t="str">
        <f t="shared" ca="1" si="86"/>
        <v>CN</v>
      </c>
      <c r="T633" s="181" t="str">
        <f ca="1">IF(B633="","",IF(ISERROR(MATCH($J633,SorP!$B$1:$B$6226,0)),"",INDIRECT("'SorP'!$A$"&amp;MATCH($S633&amp;$J633,SorP!C:C,0))))</f>
        <v>CN-JX</v>
      </c>
      <c r="U633" s="201"/>
      <c r="V633" s="226">
        <f>IF(C633="",NA(),IF(OR(C633="Smelter not listed",C633="Smelter not yet identified"),MATCH($B633&amp;$D633,'Smelter Look-up'!$J:$J,0),MATCH($B633&amp;$C633,'Smelter Look-up'!$J:$J,0)))</f>
        <v>350</v>
      </c>
      <c r="X633" s="227">
        <f t="shared" si="87"/>
        <v>0</v>
      </c>
      <c r="AB633" s="228" t="str">
        <f t="shared" si="88"/>
        <v>TantalumJiangxi Dinghai Tantalum &amp; Niobium Co., Ltd.</v>
      </c>
    </row>
    <row r="634" spans="1:28" s="227" customFormat="1" ht="94.5">
      <c r="A634" s="301" t="s">
        <v>1386</v>
      </c>
      <c r="B634" s="293" t="s">
        <v>1121</v>
      </c>
      <c r="C634" s="294" t="s">
        <v>2156</v>
      </c>
      <c r="D634" s="295" t="s">
        <v>2156</v>
      </c>
      <c r="E634" s="293" t="s">
        <v>1090</v>
      </c>
      <c r="F634" s="293" t="s">
        <v>1386</v>
      </c>
      <c r="G634" s="293" t="s">
        <v>13217</v>
      </c>
      <c r="H634" s="296" t="s">
        <v>16412</v>
      </c>
      <c r="I634" s="297" t="s">
        <v>1731</v>
      </c>
      <c r="J634" s="297" t="s">
        <v>13596</v>
      </c>
      <c r="K634" s="298" t="s">
        <v>16413</v>
      </c>
      <c r="L634" s="298" t="s">
        <v>16414</v>
      </c>
      <c r="M634" s="298" t="s">
        <v>16343</v>
      </c>
      <c r="N634" s="298" t="s">
        <v>16344</v>
      </c>
      <c r="O634" s="298" t="s">
        <v>16344</v>
      </c>
      <c r="P634" s="299" t="s">
        <v>15857</v>
      </c>
      <c r="Q634" s="300" t="s">
        <v>16345</v>
      </c>
      <c r="R634" s="182" t="str">
        <f ca="1">IF(ISERROR($V634),"",OFFSET('Smelter Look-up'!$C$4,$V634-4,0)&amp;"")</f>
        <v>Jiangxi Dinghai Tantalum &amp; Niobium Co., Ltd.</v>
      </c>
      <c r="S634" s="181" t="str">
        <f t="shared" ca="1" si="86"/>
        <v>CN</v>
      </c>
      <c r="T634" s="181" t="str">
        <f ca="1">IF(B634="","",IF(ISERROR(MATCH($J634,SorP!$B$1:$B$6226,0)),"",INDIRECT("'SorP'!$A$"&amp;MATCH($S634&amp;$J634,SorP!C:C,0))))</f>
        <v>CN-JX</v>
      </c>
      <c r="U634" s="201"/>
      <c r="V634" s="226">
        <f>IF(C634="",NA(),IF(OR(C634="Smelter not listed",C634="Smelter not yet identified"),MATCH($B634&amp;$D634,'Smelter Look-up'!$J:$J,0),MATCH($B634&amp;$C634,'Smelter Look-up'!$J:$J,0)))</f>
        <v>350</v>
      </c>
      <c r="X634" s="227">
        <f t="shared" si="87"/>
        <v>0</v>
      </c>
      <c r="AB634" s="228" t="str">
        <f t="shared" si="88"/>
        <v>TantalumJiangxi Dinghai Tantalum &amp; Niobium Co., Ltd.</v>
      </c>
    </row>
    <row r="635" spans="1:28" s="227" customFormat="1" ht="67.5">
      <c r="A635" s="301" t="s">
        <v>2253</v>
      </c>
      <c r="B635" s="293" t="s">
        <v>1121</v>
      </c>
      <c r="C635" s="294" t="s">
        <v>2252</v>
      </c>
      <c r="D635" s="295" t="s">
        <v>2252</v>
      </c>
      <c r="E635" s="293" t="s">
        <v>1090</v>
      </c>
      <c r="F635" s="293" t="s">
        <v>2253</v>
      </c>
      <c r="G635" s="293" t="s">
        <v>13217</v>
      </c>
      <c r="H635" s="296" t="s">
        <v>15855</v>
      </c>
      <c r="I635" s="297" t="s">
        <v>1727</v>
      </c>
      <c r="J635" s="297" t="s">
        <v>13596</v>
      </c>
      <c r="K635" s="298" t="s">
        <v>15855</v>
      </c>
      <c r="L635" s="298" t="s">
        <v>15855</v>
      </c>
      <c r="M635" s="298" t="s">
        <v>15855</v>
      </c>
      <c r="N635" s="298" t="s">
        <v>15855</v>
      </c>
      <c r="O635" s="298" t="s">
        <v>15855</v>
      </c>
      <c r="P635" s="299" t="s">
        <v>15857</v>
      </c>
      <c r="Q635" s="300" t="s">
        <v>15855</v>
      </c>
      <c r="R635" s="182" t="str">
        <f ca="1">IF(ISERROR($V635),"",OFFSET('Smelter Look-up'!$C$4,$V635-4,0)&amp;"")</f>
        <v>Jiangxi Tuohong New Raw Material</v>
      </c>
      <c r="S635" s="181" t="str">
        <f t="shared" ref="S635" ca="1" si="89">IF(B635="","",IF(ISERROR(MATCH($E635,CL,0)),"Unknown",INDIRECT("'C'!$A$"&amp;MATCH($E635,CL,0)+1)))</f>
        <v>CN</v>
      </c>
      <c r="T635" s="181" t="str">
        <f ca="1">IF(B635="","",IF(ISERROR(MATCH($J635,SorP!$B$1:$B$6226,0)),"",INDIRECT("'SorP'!$A$"&amp;MATCH($S635&amp;$J635,SorP!C:C,0))))</f>
        <v>CN-JX</v>
      </c>
      <c r="U635" s="201"/>
      <c r="V635" s="226">
        <f>IF(C635="",NA(),IF(OR(C635="Smelter not listed",C635="Smelter not yet identified"),MATCH($B635&amp;$D635,'Smelter Look-up'!$J:$J,0),MATCH($B635&amp;$C635,'Smelter Look-up'!$J:$J,0)))</f>
        <v>351</v>
      </c>
      <c r="X635" s="227">
        <f t="shared" ref="X635" si="90">IF(AND(C635="Smelter not listed",OR(LEN(D635)=0,LEN(E635)=0)),1,0)</f>
        <v>0</v>
      </c>
      <c r="AB635" s="228" t="str">
        <f t="shared" ref="AB635" si="91">B635&amp;C635</f>
        <v>TantalumJiangxi Tuohong New Raw Material</v>
      </c>
    </row>
    <row r="636" spans="1:28" s="227" customFormat="1" ht="67.5">
      <c r="A636" s="301" t="s">
        <v>2253</v>
      </c>
      <c r="B636" s="293" t="s">
        <v>1121</v>
      </c>
      <c r="C636" s="294" t="s">
        <v>2252</v>
      </c>
      <c r="D636" s="295" t="s">
        <v>2252</v>
      </c>
      <c r="E636" s="293" t="s">
        <v>1090</v>
      </c>
      <c r="F636" s="293" t="s">
        <v>2253</v>
      </c>
      <c r="G636" s="293" t="s">
        <v>13217</v>
      </c>
      <c r="H636" s="296" t="s">
        <v>15855</v>
      </c>
      <c r="I636" s="297" t="s">
        <v>1727</v>
      </c>
      <c r="J636" s="297" t="s">
        <v>13596</v>
      </c>
      <c r="K636" s="298" t="s">
        <v>15855</v>
      </c>
      <c r="L636" s="298" t="s">
        <v>15855</v>
      </c>
      <c r="M636" s="298" t="s">
        <v>15855</v>
      </c>
      <c r="N636" s="298" t="s">
        <v>15855</v>
      </c>
      <c r="O636" s="298" t="s">
        <v>15858</v>
      </c>
      <c r="P636" s="299" t="s">
        <v>15857</v>
      </c>
      <c r="Q636" s="300" t="s">
        <v>15855</v>
      </c>
      <c r="R636" s="182" t="str">
        <f ca="1">IF(ISERROR($V636),"",OFFSET('Smelter Look-up'!$C$4,$V636-4,0)&amp;"")</f>
        <v>Jiangxi Tuohong New Raw Material</v>
      </c>
      <c r="S636" s="181" t="str">
        <f t="shared" ref="S636:S667" ca="1" si="92">IF(B636="","",IF(ISERROR(MATCH($E636,CL,0)),"Unknown",INDIRECT("'C'!$A$"&amp;MATCH($E636,CL,0)+1)))</f>
        <v>CN</v>
      </c>
      <c r="T636" s="181" t="str">
        <f ca="1">IF(B636="","",IF(ISERROR(MATCH($J636,SorP!$B$1:$B$6226,0)),"",INDIRECT("'SorP'!$A$"&amp;MATCH($S636&amp;$J636,SorP!C:C,0))))</f>
        <v>CN-JX</v>
      </c>
      <c r="U636" s="201"/>
      <c r="V636" s="226">
        <f>IF(C636="",NA(),IF(OR(C636="Smelter not listed",C636="Smelter not yet identified"),MATCH($B636&amp;$D636,'Smelter Look-up'!$J:$J,0),MATCH($B636&amp;$C636,'Smelter Look-up'!$J:$J,0)))</f>
        <v>351</v>
      </c>
      <c r="X636" s="227">
        <f t="shared" ref="X636:X667" si="93">IF(AND(C636="Smelter not listed",OR(LEN(D636)=0,LEN(E636)=0)),1,0)</f>
        <v>0</v>
      </c>
      <c r="AB636" s="228" t="str">
        <f t="shared" ref="AB636:AB667" si="94">B636&amp;C636</f>
        <v>TantalumJiangxi Tuohong New Raw Material</v>
      </c>
    </row>
    <row r="637" spans="1:28" s="227" customFormat="1" ht="67.5">
      <c r="A637" s="301" t="s">
        <v>2253</v>
      </c>
      <c r="B637" s="293" t="s">
        <v>1121</v>
      </c>
      <c r="C637" s="294" t="s">
        <v>2252</v>
      </c>
      <c r="D637" s="295" t="s">
        <v>2252</v>
      </c>
      <c r="E637" s="293" t="s">
        <v>1090</v>
      </c>
      <c r="F637" s="293" t="s">
        <v>2253</v>
      </c>
      <c r="G637" s="293" t="s">
        <v>13217</v>
      </c>
      <c r="H637" s="296" t="s">
        <v>15855</v>
      </c>
      <c r="I637" s="297" t="s">
        <v>1727</v>
      </c>
      <c r="J637" s="297" t="s">
        <v>13596</v>
      </c>
      <c r="K637" s="298" t="s">
        <v>16415</v>
      </c>
      <c r="L637" s="298" t="s">
        <v>16416</v>
      </c>
      <c r="M637" s="298" t="s">
        <v>15869</v>
      </c>
      <c r="N637" s="298" t="s">
        <v>15862</v>
      </c>
      <c r="O637" s="298" t="s">
        <v>16417</v>
      </c>
      <c r="P637" s="299" t="s">
        <v>15857</v>
      </c>
      <c r="Q637" s="300" t="s">
        <v>15855</v>
      </c>
      <c r="R637" s="182" t="str">
        <f ca="1">IF(ISERROR($V637),"",OFFSET('Smelter Look-up'!$C$4,$V637-4,0)&amp;"")</f>
        <v>Jiangxi Tuohong New Raw Material</v>
      </c>
      <c r="S637" s="181" t="str">
        <f t="shared" ca="1" si="92"/>
        <v>CN</v>
      </c>
      <c r="T637" s="181" t="str">
        <f ca="1">IF(B637="","",IF(ISERROR(MATCH($J637,SorP!$B$1:$B$6226,0)),"",INDIRECT("'SorP'!$A$"&amp;MATCH($S637&amp;$J637,SorP!C:C,0))))</f>
        <v>CN-JX</v>
      </c>
      <c r="U637" s="201"/>
      <c r="V637" s="226">
        <f>IF(C637="",NA(),IF(OR(C637="Smelter not listed",C637="Smelter not yet identified"),MATCH($B637&amp;$D637,'Smelter Look-up'!$J:$J,0),MATCH($B637&amp;$C637,'Smelter Look-up'!$J:$J,0)))</f>
        <v>351</v>
      </c>
      <c r="X637" s="227">
        <f t="shared" si="93"/>
        <v>0</v>
      </c>
      <c r="AB637" s="228" t="str">
        <f t="shared" si="94"/>
        <v>TantalumJiangxi Tuohong New Raw Material</v>
      </c>
    </row>
    <row r="638" spans="1:28" s="227" customFormat="1" ht="67.5">
      <c r="A638" s="301" t="s">
        <v>2253</v>
      </c>
      <c r="B638" s="293" t="s">
        <v>1121</v>
      </c>
      <c r="C638" s="294" t="s">
        <v>2252</v>
      </c>
      <c r="D638" s="295" t="s">
        <v>2252</v>
      </c>
      <c r="E638" s="293" t="s">
        <v>1090</v>
      </c>
      <c r="F638" s="293" t="s">
        <v>2253</v>
      </c>
      <c r="G638" s="293" t="s">
        <v>13217</v>
      </c>
      <c r="H638" s="302" t="s">
        <v>15880</v>
      </c>
      <c r="I638" s="297" t="s">
        <v>1727</v>
      </c>
      <c r="J638" s="297" t="s">
        <v>13596</v>
      </c>
      <c r="K638" s="298" t="s">
        <v>15855</v>
      </c>
      <c r="L638" s="298" t="s">
        <v>15855</v>
      </c>
      <c r="M638" s="298" t="s">
        <v>15855</v>
      </c>
      <c r="N638" s="298" t="s">
        <v>15855</v>
      </c>
      <c r="O638" s="298" t="s">
        <v>15855</v>
      </c>
      <c r="P638" s="299" t="s">
        <v>15857</v>
      </c>
      <c r="Q638" s="300" t="s">
        <v>15855</v>
      </c>
      <c r="R638" s="182" t="str">
        <f ca="1">IF(ISERROR($V638),"",OFFSET('Smelter Look-up'!$C$4,$V638-4,0)&amp;"")</f>
        <v>Jiangxi Tuohong New Raw Material</v>
      </c>
      <c r="S638" s="181" t="str">
        <f t="shared" ca="1" si="92"/>
        <v>CN</v>
      </c>
      <c r="T638" s="181" t="str">
        <f ca="1">IF(B638="","",IF(ISERROR(MATCH($J638,SorP!$B$1:$B$6226,0)),"",INDIRECT("'SorP'!$A$"&amp;MATCH($S638&amp;$J638,SorP!C:C,0))))</f>
        <v>CN-JX</v>
      </c>
      <c r="U638" s="201"/>
      <c r="V638" s="226">
        <f>IF(C638="",NA(),IF(OR(C638="Smelter not listed",C638="Smelter not yet identified"),MATCH($B638&amp;$D638,'Smelter Look-up'!$J:$J,0),MATCH($B638&amp;$C638,'Smelter Look-up'!$J:$J,0)))</f>
        <v>351</v>
      </c>
      <c r="X638" s="227">
        <f t="shared" si="93"/>
        <v>0</v>
      </c>
      <c r="AB638" s="228" t="str">
        <f t="shared" si="94"/>
        <v>TantalumJiangxi Tuohong New Raw Material</v>
      </c>
    </row>
    <row r="639" spans="1:28" s="227" customFormat="1" ht="67.5">
      <c r="A639" s="301" t="s">
        <v>2253</v>
      </c>
      <c r="B639" s="293" t="s">
        <v>1121</v>
      </c>
      <c r="C639" s="294" t="s">
        <v>2252</v>
      </c>
      <c r="D639" s="295" t="s">
        <v>2252</v>
      </c>
      <c r="E639" s="293" t="s">
        <v>1090</v>
      </c>
      <c r="F639" s="293" t="s">
        <v>2253</v>
      </c>
      <c r="G639" s="293" t="s">
        <v>13217</v>
      </c>
      <c r="H639" s="296" t="s">
        <v>16418</v>
      </c>
      <c r="I639" s="297" t="s">
        <v>1727</v>
      </c>
      <c r="J639" s="297" t="s">
        <v>13596</v>
      </c>
      <c r="K639" s="298" t="s">
        <v>16415</v>
      </c>
      <c r="L639" s="298" t="s">
        <v>16416</v>
      </c>
      <c r="M639" s="298" t="s">
        <v>16343</v>
      </c>
      <c r="N639" s="298" t="s">
        <v>16344</v>
      </c>
      <c r="O639" s="298" t="s">
        <v>16344</v>
      </c>
      <c r="P639" s="299" t="s">
        <v>15857</v>
      </c>
      <c r="Q639" s="300" t="s">
        <v>16345</v>
      </c>
      <c r="R639" s="182" t="str">
        <f ca="1">IF(ISERROR($V639),"",OFFSET('Smelter Look-up'!$C$4,$V639-4,0)&amp;"")</f>
        <v>Jiangxi Tuohong New Raw Material</v>
      </c>
      <c r="S639" s="181" t="str">
        <f t="shared" ca="1" si="92"/>
        <v>CN</v>
      </c>
      <c r="T639" s="181" t="str">
        <f ca="1">IF(B639="","",IF(ISERROR(MATCH($J639,SorP!$B$1:$B$6226,0)),"",INDIRECT("'SorP'!$A$"&amp;MATCH($S639&amp;$J639,SorP!C:C,0))))</f>
        <v>CN-JX</v>
      </c>
      <c r="U639" s="201"/>
      <c r="V639" s="226">
        <f>IF(C639="",NA(),IF(OR(C639="Smelter not listed",C639="Smelter not yet identified"),MATCH($B639&amp;$D639,'Smelter Look-up'!$J:$J,0),MATCH($B639&amp;$C639,'Smelter Look-up'!$J:$J,0)))</f>
        <v>351</v>
      </c>
      <c r="X639" s="227">
        <f t="shared" si="93"/>
        <v>0</v>
      </c>
      <c r="AB639" s="228" t="str">
        <f t="shared" si="94"/>
        <v>TantalumJiangxi Tuohong New Raw Material</v>
      </c>
    </row>
    <row r="640" spans="1:28" s="227" customFormat="1" ht="94.5">
      <c r="A640" s="301" t="s">
        <v>744</v>
      </c>
      <c r="B640" s="293" t="s">
        <v>1121</v>
      </c>
      <c r="C640" s="294" t="s">
        <v>2</v>
      </c>
      <c r="D640" s="295" t="s">
        <v>2</v>
      </c>
      <c r="E640" s="293" t="s">
        <v>1090</v>
      </c>
      <c r="F640" s="293" t="s">
        <v>744</v>
      </c>
      <c r="G640" s="293" t="s">
        <v>13217</v>
      </c>
      <c r="H640" s="296" t="s">
        <v>15855</v>
      </c>
      <c r="I640" s="297" t="s">
        <v>1708</v>
      </c>
      <c r="J640" s="297" t="s">
        <v>13596</v>
      </c>
      <c r="K640" s="298" t="s">
        <v>15855</v>
      </c>
      <c r="L640" s="298" t="s">
        <v>15855</v>
      </c>
      <c r="M640" s="298" t="s">
        <v>15855</v>
      </c>
      <c r="N640" s="298" t="s">
        <v>15855</v>
      </c>
      <c r="O640" s="298" t="s">
        <v>15855</v>
      </c>
      <c r="P640" s="299" t="s">
        <v>15857</v>
      </c>
      <c r="Q640" s="300" t="s">
        <v>15855</v>
      </c>
      <c r="R640" s="182" t="str">
        <f ca="1">IF(ISERROR($V640),"",OFFSET('Smelter Look-up'!$C$4,$V640-4,0)&amp;"")</f>
        <v>JiuJiang JinXin Nonferrous Metals Co., Ltd.</v>
      </c>
      <c r="S640" s="181" t="str">
        <f t="shared" ca="1" si="92"/>
        <v>CN</v>
      </c>
      <c r="T640" s="181" t="str">
        <f ca="1">IF(B640="","",IF(ISERROR(MATCH($J640,SorP!$B$1:$B$6226,0)),"",INDIRECT("'SorP'!$A$"&amp;MATCH($S640&amp;$J640,SorP!C:C,0))))</f>
        <v>CN-JX</v>
      </c>
      <c r="U640" s="201"/>
      <c r="V640" s="226">
        <f>IF(C640="",NA(),IF(OR(C640="Smelter not listed",C640="Smelter not yet identified"),MATCH($B640&amp;$D640,'Smelter Look-up'!$J:$J,0),MATCH($B640&amp;$C640,'Smelter Look-up'!$J:$J,0)))</f>
        <v>352</v>
      </c>
      <c r="X640" s="227">
        <f t="shared" si="93"/>
        <v>0</v>
      </c>
      <c r="AB640" s="228" t="str">
        <f t="shared" si="94"/>
        <v>TantalumJiuJiang JinXin Nonferrous Metals Co., Ltd.</v>
      </c>
    </row>
    <row r="641" spans="1:28" s="227" customFormat="1" ht="94.5">
      <c r="A641" s="301" t="s">
        <v>744</v>
      </c>
      <c r="B641" s="293" t="s">
        <v>1121</v>
      </c>
      <c r="C641" s="294" t="s">
        <v>2</v>
      </c>
      <c r="D641" s="295" t="s">
        <v>2</v>
      </c>
      <c r="E641" s="293" t="s">
        <v>1090</v>
      </c>
      <c r="F641" s="293" t="s">
        <v>744</v>
      </c>
      <c r="G641" s="293" t="s">
        <v>13217</v>
      </c>
      <c r="H641" s="296" t="s">
        <v>15855</v>
      </c>
      <c r="I641" s="297" t="s">
        <v>1708</v>
      </c>
      <c r="J641" s="297" t="s">
        <v>13596</v>
      </c>
      <c r="K641" s="298" t="s">
        <v>15855</v>
      </c>
      <c r="L641" s="298" t="s">
        <v>15855</v>
      </c>
      <c r="M641" s="298" t="s">
        <v>15855</v>
      </c>
      <c r="N641" s="298" t="s">
        <v>15855</v>
      </c>
      <c r="O641" s="298" t="s">
        <v>16419</v>
      </c>
      <c r="P641" s="299" t="s">
        <v>15857</v>
      </c>
      <c r="Q641" s="300" t="s">
        <v>15855</v>
      </c>
      <c r="R641" s="182" t="str">
        <f ca="1">IF(ISERROR($V641),"",OFFSET('Smelter Look-up'!$C$4,$V641-4,0)&amp;"")</f>
        <v>JiuJiang JinXin Nonferrous Metals Co., Ltd.</v>
      </c>
      <c r="S641" s="181" t="str">
        <f t="shared" ca="1" si="92"/>
        <v>CN</v>
      </c>
      <c r="T641" s="181" t="str">
        <f ca="1">IF(B641="","",IF(ISERROR(MATCH($J641,SorP!$B$1:$B$6226,0)),"",INDIRECT("'SorP'!$A$"&amp;MATCH($S641&amp;$J641,SorP!C:C,0))))</f>
        <v>CN-JX</v>
      </c>
      <c r="U641" s="201"/>
      <c r="V641" s="226">
        <f>IF(C641="",NA(),IF(OR(C641="Smelter not listed",C641="Smelter not yet identified"),MATCH($B641&amp;$D641,'Smelter Look-up'!$J:$J,0),MATCH($B641&amp;$C641,'Smelter Look-up'!$J:$J,0)))</f>
        <v>352</v>
      </c>
      <c r="X641" s="227">
        <f t="shared" si="93"/>
        <v>0</v>
      </c>
      <c r="AB641" s="228" t="str">
        <f t="shared" si="94"/>
        <v>TantalumJiuJiang JinXin Nonferrous Metals Co., Ltd.</v>
      </c>
    </row>
    <row r="642" spans="1:28" s="227" customFormat="1" ht="94.5">
      <c r="A642" s="301" t="s">
        <v>744</v>
      </c>
      <c r="B642" s="293" t="s">
        <v>1121</v>
      </c>
      <c r="C642" s="294" t="s">
        <v>2</v>
      </c>
      <c r="D642" s="295" t="s">
        <v>2</v>
      </c>
      <c r="E642" s="293" t="s">
        <v>1090</v>
      </c>
      <c r="F642" s="293" t="s">
        <v>744</v>
      </c>
      <c r="G642" s="293" t="s">
        <v>13217</v>
      </c>
      <c r="H642" s="296" t="s">
        <v>15855</v>
      </c>
      <c r="I642" s="297" t="s">
        <v>1708</v>
      </c>
      <c r="J642" s="297" t="s">
        <v>13596</v>
      </c>
      <c r="K642" s="298" t="s">
        <v>16420</v>
      </c>
      <c r="L642" s="298" t="s">
        <v>16421</v>
      </c>
      <c r="M642" s="298" t="s">
        <v>16422</v>
      </c>
      <c r="N642" s="298" t="s">
        <v>15870</v>
      </c>
      <c r="O642" s="298" t="s">
        <v>16359</v>
      </c>
      <c r="P642" s="299" t="s">
        <v>15857</v>
      </c>
      <c r="Q642" s="300" t="s">
        <v>15855</v>
      </c>
      <c r="R642" s="182" t="str">
        <f ca="1">IF(ISERROR($V642),"",OFFSET('Smelter Look-up'!$C$4,$V642-4,0)&amp;"")</f>
        <v>JiuJiang JinXin Nonferrous Metals Co., Ltd.</v>
      </c>
      <c r="S642" s="181" t="str">
        <f t="shared" ca="1" si="92"/>
        <v>CN</v>
      </c>
      <c r="T642" s="181" t="str">
        <f ca="1">IF(B642="","",IF(ISERROR(MATCH($J642,SorP!$B$1:$B$6226,0)),"",INDIRECT("'SorP'!$A$"&amp;MATCH($S642&amp;$J642,SorP!C:C,0))))</f>
        <v>CN-JX</v>
      </c>
      <c r="U642" s="201"/>
      <c r="V642" s="226">
        <f>IF(C642="",NA(),IF(OR(C642="Smelter not listed",C642="Smelter not yet identified"),MATCH($B642&amp;$D642,'Smelter Look-up'!$J:$J,0),MATCH($B642&amp;$C642,'Smelter Look-up'!$J:$J,0)))</f>
        <v>352</v>
      </c>
      <c r="X642" s="227">
        <f t="shared" si="93"/>
        <v>0</v>
      </c>
      <c r="AB642" s="228" t="str">
        <f t="shared" si="94"/>
        <v>TantalumJiuJiang JinXin Nonferrous Metals Co., Ltd.</v>
      </c>
    </row>
    <row r="643" spans="1:28" s="227" customFormat="1" ht="94.5">
      <c r="A643" s="301" t="s">
        <v>744</v>
      </c>
      <c r="B643" s="293" t="s">
        <v>1121</v>
      </c>
      <c r="C643" s="294" t="s">
        <v>2</v>
      </c>
      <c r="D643" s="295" t="s">
        <v>2</v>
      </c>
      <c r="E643" s="293" t="s">
        <v>1090</v>
      </c>
      <c r="F643" s="293" t="s">
        <v>744</v>
      </c>
      <c r="G643" s="293" t="s">
        <v>13217</v>
      </c>
      <c r="H643" s="302" t="s">
        <v>15880</v>
      </c>
      <c r="I643" s="297" t="s">
        <v>1708</v>
      </c>
      <c r="J643" s="297" t="s">
        <v>13596</v>
      </c>
      <c r="K643" s="298" t="s">
        <v>15855</v>
      </c>
      <c r="L643" s="298" t="s">
        <v>15855</v>
      </c>
      <c r="M643" s="298" t="s">
        <v>15855</v>
      </c>
      <c r="N643" s="298" t="s">
        <v>15855</v>
      </c>
      <c r="O643" s="298" t="s">
        <v>15855</v>
      </c>
      <c r="P643" s="299" t="s">
        <v>15857</v>
      </c>
      <c r="Q643" s="300" t="s">
        <v>15855</v>
      </c>
      <c r="R643" s="182" t="str">
        <f ca="1">IF(ISERROR($V643),"",OFFSET('Smelter Look-up'!$C$4,$V643-4,0)&amp;"")</f>
        <v>JiuJiang JinXin Nonferrous Metals Co., Ltd.</v>
      </c>
      <c r="S643" s="181" t="str">
        <f t="shared" ca="1" si="92"/>
        <v>CN</v>
      </c>
      <c r="T643" s="181" t="str">
        <f ca="1">IF(B643="","",IF(ISERROR(MATCH($J643,SorP!$B$1:$B$6226,0)),"",INDIRECT("'SorP'!$A$"&amp;MATCH($S643&amp;$J643,SorP!C:C,0))))</f>
        <v>CN-JX</v>
      </c>
      <c r="U643" s="201"/>
      <c r="V643" s="226">
        <f>IF(C643="",NA(),IF(OR(C643="Smelter not listed",C643="Smelter not yet identified"),MATCH($B643&amp;$D643,'Smelter Look-up'!$J:$J,0),MATCH($B643&amp;$C643,'Smelter Look-up'!$J:$J,0)))</f>
        <v>352</v>
      </c>
      <c r="X643" s="227">
        <f t="shared" si="93"/>
        <v>0</v>
      </c>
      <c r="AB643" s="228" t="str">
        <f t="shared" si="94"/>
        <v>TantalumJiuJiang JinXin Nonferrous Metals Co., Ltd.</v>
      </c>
    </row>
    <row r="644" spans="1:28" s="227" customFormat="1" ht="94.5">
      <c r="A644" s="301" t="s">
        <v>744</v>
      </c>
      <c r="B644" s="293" t="s">
        <v>1121</v>
      </c>
      <c r="C644" s="294" t="s">
        <v>2</v>
      </c>
      <c r="D644" s="295" t="s">
        <v>2</v>
      </c>
      <c r="E644" s="293" t="s">
        <v>1090</v>
      </c>
      <c r="F644" s="293" t="s">
        <v>744</v>
      </c>
      <c r="G644" s="293" t="s">
        <v>13217</v>
      </c>
      <c r="H644" s="296" t="s">
        <v>16423</v>
      </c>
      <c r="I644" s="297" t="s">
        <v>1708</v>
      </c>
      <c r="J644" s="297" t="s">
        <v>13596</v>
      </c>
      <c r="K644" s="298" t="s">
        <v>16420</v>
      </c>
      <c r="L644" s="298" t="s">
        <v>16421</v>
      </c>
      <c r="M644" s="298" t="s">
        <v>16343</v>
      </c>
      <c r="N644" s="298" t="s">
        <v>16344</v>
      </c>
      <c r="O644" s="298" t="s">
        <v>16344</v>
      </c>
      <c r="P644" s="299" t="s">
        <v>15857</v>
      </c>
      <c r="Q644" s="300" t="s">
        <v>16345</v>
      </c>
      <c r="R644" s="182" t="str">
        <f ca="1">IF(ISERROR($V644),"",OFFSET('Smelter Look-up'!$C$4,$V644-4,0)&amp;"")</f>
        <v>JiuJiang JinXin Nonferrous Metals Co., Ltd.</v>
      </c>
      <c r="S644" s="181" t="str">
        <f t="shared" ca="1" si="92"/>
        <v>CN</v>
      </c>
      <c r="T644" s="181" t="str">
        <f ca="1">IF(B644="","",IF(ISERROR(MATCH($J644,SorP!$B$1:$B$6226,0)),"",INDIRECT("'SorP'!$A$"&amp;MATCH($S644&amp;$J644,SorP!C:C,0))))</f>
        <v>CN-JX</v>
      </c>
      <c r="U644" s="201"/>
      <c r="V644" s="226">
        <f>IF(C644="",NA(),IF(OR(C644="Smelter not listed",C644="Smelter not yet identified"),MATCH($B644&amp;$D644,'Smelter Look-up'!$J:$J,0),MATCH($B644&amp;$C644,'Smelter Look-up'!$J:$J,0)))</f>
        <v>352</v>
      </c>
      <c r="X644" s="227">
        <f t="shared" si="93"/>
        <v>0</v>
      </c>
      <c r="AB644" s="228" t="str">
        <f t="shared" si="94"/>
        <v>TantalumJiuJiang JinXin Nonferrous Metals Co., Ltd.</v>
      </c>
    </row>
    <row r="645" spans="1:28" s="227" customFormat="1" ht="54">
      <c r="A645" s="301" t="s">
        <v>745</v>
      </c>
      <c r="B645" s="293" t="s">
        <v>1121</v>
      </c>
      <c r="C645" s="294" t="s">
        <v>44</v>
      </c>
      <c r="D645" s="295" t="s">
        <v>44</v>
      </c>
      <c r="E645" s="293" t="s">
        <v>1090</v>
      </c>
      <c r="F645" s="293" t="s">
        <v>745</v>
      </c>
      <c r="G645" s="293" t="s">
        <v>13217</v>
      </c>
      <c r="H645" s="296" t="s">
        <v>15855</v>
      </c>
      <c r="I645" s="297" t="s">
        <v>1708</v>
      </c>
      <c r="J645" s="297" t="s">
        <v>13596</v>
      </c>
      <c r="K645" s="298" t="s">
        <v>15855</v>
      </c>
      <c r="L645" s="298" t="s">
        <v>15855</v>
      </c>
      <c r="M645" s="298" t="s">
        <v>15855</v>
      </c>
      <c r="N645" s="298" t="s">
        <v>15855</v>
      </c>
      <c r="O645" s="298" t="s">
        <v>15855</v>
      </c>
      <c r="P645" s="299" t="s">
        <v>15857</v>
      </c>
      <c r="Q645" s="300" t="s">
        <v>15855</v>
      </c>
      <c r="R645" s="182" t="str">
        <f ca="1">IF(ISERROR($V645),"",OFFSET('Smelter Look-up'!$C$4,$V645-4,0)&amp;"")</f>
        <v>Jiujiang Tanbre Co., Ltd.</v>
      </c>
      <c r="S645" s="181" t="str">
        <f t="shared" ca="1" si="92"/>
        <v>CN</v>
      </c>
      <c r="T645" s="181" t="str">
        <f ca="1">IF(B645="","",IF(ISERROR(MATCH($J645,SorP!$B$1:$B$6226,0)),"",INDIRECT("'SorP'!$A$"&amp;MATCH($S645&amp;$J645,SorP!C:C,0))))</f>
        <v>CN-JX</v>
      </c>
      <c r="U645" s="201"/>
      <c r="V645" s="226">
        <f>IF(C645="",NA(),IF(OR(C645="Smelter not listed",C645="Smelter not yet identified"),MATCH($B645&amp;$D645,'Smelter Look-up'!$J:$J,0),MATCH($B645&amp;$C645,'Smelter Look-up'!$J:$J,0)))</f>
        <v>354</v>
      </c>
      <c r="X645" s="227">
        <f t="shared" si="93"/>
        <v>0</v>
      </c>
      <c r="AB645" s="228" t="str">
        <f t="shared" si="94"/>
        <v>TantalumJiujiang Tanbre Co., Ltd.</v>
      </c>
    </row>
    <row r="646" spans="1:28" s="227" customFormat="1" ht="54">
      <c r="A646" s="301" t="s">
        <v>745</v>
      </c>
      <c r="B646" s="293" t="s">
        <v>1121</v>
      </c>
      <c r="C646" s="294" t="s">
        <v>44</v>
      </c>
      <c r="D646" s="295" t="s">
        <v>44</v>
      </c>
      <c r="E646" s="293" t="s">
        <v>1090</v>
      </c>
      <c r="F646" s="293" t="s">
        <v>745</v>
      </c>
      <c r="G646" s="293" t="s">
        <v>13217</v>
      </c>
      <c r="H646" s="296" t="s">
        <v>15855</v>
      </c>
      <c r="I646" s="297" t="s">
        <v>1708</v>
      </c>
      <c r="J646" s="297" t="s">
        <v>13596</v>
      </c>
      <c r="K646" s="298" t="s">
        <v>15855</v>
      </c>
      <c r="L646" s="298" t="s">
        <v>15855</v>
      </c>
      <c r="M646" s="298" t="s">
        <v>15855</v>
      </c>
      <c r="N646" s="298" t="s">
        <v>15855</v>
      </c>
      <c r="O646" s="298" t="s">
        <v>16419</v>
      </c>
      <c r="P646" s="299" t="s">
        <v>15857</v>
      </c>
      <c r="Q646" s="300" t="s">
        <v>15855</v>
      </c>
      <c r="R646" s="182" t="str">
        <f ca="1">IF(ISERROR($V646),"",OFFSET('Smelter Look-up'!$C$4,$V646-4,0)&amp;"")</f>
        <v>Jiujiang Tanbre Co., Ltd.</v>
      </c>
      <c r="S646" s="181" t="str">
        <f t="shared" ca="1" si="92"/>
        <v>CN</v>
      </c>
      <c r="T646" s="181" t="str">
        <f ca="1">IF(B646="","",IF(ISERROR(MATCH($J646,SorP!$B$1:$B$6226,0)),"",INDIRECT("'SorP'!$A$"&amp;MATCH($S646&amp;$J646,SorP!C:C,0))))</f>
        <v>CN-JX</v>
      </c>
      <c r="U646" s="201"/>
      <c r="V646" s="226">
        <f>IF(C646="",NA(),IF(OR(C646="Smelter not listed",C646="Smelter not yet identified"),MATCH($B646&amp;$D646,'Smelter Look-up'!$J:$J,0),MATCH($B646&amp;$C646,'Smelter Look-up'!$J:$J,0)))</f>
        <v>354</v>
      </c>
      <c r="X646" s="227">
        <f t="shared" si="93"/>
        <v>0</v>
      </c>
      <c r="AB646" s="228" t="str">
        <f t="shared" si="94"/>
        <v>TantalumJiujiang Tanbre Co., Ltd.</v>
      </c>
    </row>
    <row r="647" spans="1:28" s="227" customFormat="1" ht="54">
      <c r="A647" s="301" t="s">
        <v>745</v>
      </c>
      <c r="B647" s="293" t="s">
        <v>1121</v>
      </c>
      <c r="C647" s="294" t="s">
        <v>44</v>
      </c>
      <c r="D647" s="295" t="s">
        <v>44</v>
      </c>
      <c r="E647" s="293" t="s">
        <v>1090</v>
      </c>
      <c r="F647" s="293" t="s">
        <v>745</v>
      </c>
      <c r="G647" s="293" t="s">
        <v>13217</v>
      </c>
      <c r="H647" s="296" t="s">
        <v>15855</v>
      </c>
      <c r="I647" s="297" t="s">
        <v>1708</v>
      </c>
      <c r="J647" s="297" t="s">
        <v>13596</v>
      </c>
      <c r="K647" s="298" t="s">
        <v>15855</v>
      </c>
      <c r="L647" s="298" t="s">
        <v>15855</v>
      </c>
      <c r="M647" s="298" t="s">
        <v>15855</v>
      </c>
      <c r="N647" s="298" t="s">
        <v>15855</v>
      </c>
      <c r="O647" s="298" t="s">
        <v>16364</v>
      </c>
      <c r="P647" s="299" t="s">
        <v>15857</v>
      </c>
      <c r="Q647" s="300" t="s">
        <v>16355</v>
      </c>
      <c r="R647" s="182" t="str">
        <f ca="1">IF(ISERROR($V647),"",OFFSET('Smelter Look-up'!$C$4,$V647-4,0)&amp;"")</f>
        <v>Jiujiang Tanbre Co., Ltd.</v>
      </c>
      <c r="S647" s="181" t="str">
        <f t="shared" ca="1" si="92"/>
        <v>CN</v>
      </c>
      <c r="T647" s="181" t="str">
        <f ca="1">IF(B647="","",IF(ISERROR(MATCH($J647,SorP!$B$1:$B$6226,0)),"",INDIRECT("'SorP'!$A$"&amp;MATCH($S647&amp;$J647,SorP!C:C,0))))</f>
        <v>CN-JX</v>
      </c>
      <c r="U647" s="201"/>
      <c r="V647" s="226">
        <f>IF(C647="",NA(),IF(OR(C647="Smelter not listed",C647="Smelter not yet identified"),MATCH($B647&amp;$D647,'Smelter Look-up'!$J:$J,0),MATCH($B647&amp;$C647,'Smelter Look-up'!$J:$J,0)))</f>
        <v>354</v>
      </c>
      <c r="X647" s="227">
        <f t="shared" si="93"/>
        <v>0</v>
      </c>
      <c r="AB647" s="228" t="str">
        <f t="shared" si="94"/>
        <v>TantalumJiujiang Tanbre Co., Ltd.</v>
      </c>
    </row>
    <row r="648" spans="1:28" s="227" customFormat="1" ht="54">
      <c r="A648" s="301" t="s">
        <v>745</v>
      </c>
      <c r="B648" s="293" t="s">
        <v>1121</v>
      </c>
      <c r="C648" s="294" t="s">
        <v>44</v>
      </c>
      <c r="D648" s="295" t="s">
        <v>44</v>
      </c>
      <c r="E648" s="293" t="s">
        <v>1090</v>
      </c>
      <c r="F648" s="293" t="s">
        <v>745</v>
      </c>
      <c r="G648" s="293" t="s">
        <v>13217</v>
      </c>
      <c r="H648" s="296" t="s">
        <v>15855</v>
      </c>
      <c r="I648" s="297" t="s">
        <v>1708</v>
      </c>
      <c r="J648" s="297" t="s">
        <v>13596</v>
      </c>
      <c r="K648" s="298" t="s">
        <v>16424</v>
      </c>
      <c r="L648" s="298" t="s">
        <v>16425</v>
      </c>
      <c r="M648" s="298" t="s">
        <v>15869</v>
      </c>
      <c r="N648" s="298" t="s">
        <v>16426</v>
      </c>
      <c r="O648" s="298" t="s">
        <v>16427</v>
      </c>
      <c r="P648" s="299" t="s">
        <v>15857</v>
      </c>
      <c r="Q648" s="300" t="s">
        <v>15855</v>
      </c>
      <c r="R648" s="182" t="str">
        <f ca="1">IF(ISERROR($V648),"",OFFSET('Smelter Look-up'!$C$4,$V648-4,0)&amp;"")</f>
        <v>Jiujiang Tanbre Co., Ltd.</v>
      </c>
      <c r="S648" s="181" t="str">
        <f t="shared" ca="1" si="92"/>
        <v>CN</v>
      </c>
      <c r="T648" s="181" t="str">
        <f ca="1">IF(B648="","",IF(ISERROR(MATCH($J648,SorP!$B$1:$B$6226,0)),"",INDIRECT("'SorP'!$A$"&amp;MATCH($S648&amp;$J648,SorP!C:C,0))))</f>
        <v>CN-JX</v>
      </c>
      <c r="U648" s="201"/>
      <c r="V648" s="226">
        <f>IF(C648="",NA(),IF(OR(C648="Smelter not listed",C648="Smelter not yet identified"),MATCH($B648&amp;$D648,'Smelter Look-up'!$J:$J,0),MATCH($B648&amp;$C648,'Smelter Look-up'!$J:$J,0)))</f>
        <v>354</v>
      </c>
      <c r="X648" s="227">
        <f t="shared" si="93"/>
        <v>0</v>
      </c>
      <c r="AB648" s="228" t="str">
        <f t="shared" si="94"/>
        <v>TantalumJiujiang Tanbre Co., Ltd.</v>
      </c>
    </row>
    <row r="649" spans="1:28" s="227" customFormat="1" ht="54">
      <c r="A649" s="301" t="s">
        <v>745</v>
      </c>
      <c r="B649" s="293" t="s">
        <v>1121</v>
      </c>
      <c r="C649" s="294" t="s">
        <v>44</v>
      </c>
      <c r="D649" s="295" t="s">
        <v>44</v>
      </c>
      <c r="E649" s="293" t="s">
        <v>1090</v>
      </c>
      <c r="F649" s="293" t="s">
        <v>745</v>
      </c>
      <c r="G649" s="293" t="s">
        <v>13217</v>
      </c>
      <c r="H649" s="302" t="s">
        <v>15880</v>
      </c>
      <c r="I649" s="297" t="s">
        <v>1708</v>
      </c>
      <c r="J649" s="297" t="s">
        <v>13596</v>
      </c>
      <c r="K649" s="298" t="s">
        <v>15855</v>
      </c>
      <c r="L649" s="298" t="s">
        <v>15855</v>
      </c>
      <c r="M649" s="298" t="s">
        <v>15855</v>
      </c>
      <c r="N649" s="298" t="s">
        <v>15855</v>
      </c>
      <c r="O649" s="298" t="s">
        <v>15855</v>
      </c>
      <c r="P649" s="299" t="s">
        <v>15857</v>
      </c>
      <c r="Q649" s="300" t="s">
        <v>15855</v>
      </c>
      <c r="R649" s="182" t="str">
        <f ca="1">IF(ISERROR($V649),"",OFFSET('Smelter Look-up'!$C$4,$V649-4,0)&amp;"")</f>
        <v>Jiujiang Tanbre Co., Ltd.</v>
      </c>
      <c r="S649" s="181" t="str">
        <f t="shared" ca="1" si="92"/>
        <v>CN</v>
      </c>
      <c r="T649" s="181" t="str">
        <f ca="1">IF(B649="","",IF(ISERROR(MATCH($J649,SorP!$B$1:$B$6226,0)),"",INDIRECT("'SorP'!$A$"&amp;MATCH($S649&amp;$J649,SorP!C:C,0))))</f>
        <v>CN-JX</v>
      </c>
      <c r="U649" s="201"/>
      <c r="V649" s="226">
        <f>IF(C649="",NA(),IF(OR(C649="Smelter not listed",C649="Smelter not yet identified"),MATCH($B649&amp;$D649,'Smelter Look-up'!$J:$J,0),MATCH($B649&amp;$C649,'Smelter Look-up'!$J:$J,0)))</f>
        <v>354</v>
      </c>
      <c r="X649" s="227">
        <f t="shared" si="93"/>
        <v>0</v>
      </c>
      <c r="AB649" s="228" t="str">
        <f t="shared" si="94"/>
        <v>TantalumJiujiang Tanbre Co., Ltd.</v>
      </c>
    </row>
    <row r="650" spans="1:28" s="227" customFormat="1" ht="54">
      <c r="A650" s="301" t="s">
        <v>745</v>
      </c>
      <c r="B650" s="293" t="s">
        <v>1121</v>
      </c>
      <c r="C650" s="294" t="s">
        <v>44</v>
      </c>
      <c r="D650" s="295" t="s">
        <v>44</v>
      </c>
      <c r="E650" s="293" t="s">
        <v>1090</v>
      </c>
      <c r="F650" s="293" t="s">
        <v>745</v>
      </c>
      <c r="G650" s="293" t="s">
        <v>13217</v>
      </c>
      <c r="H650" s="296" t="s">
        <v>16428</v>
      </c>
      <c r="I650" s="297" t="s">
        <v>1708</v>
      </c>
      <c r="J650" s="297" t="s">
        <v>13596</v>
      </c>
      <c r="K650" s="298" t="s">
        <v>16424</v>
      </c>
      <c r="L650" s="298" t="s">
        <v>16425</v>
      </c>
      <c r="M650" s="298" t="s">
        <v>16343</v>
      </c>
      <c r="N650" s="298" t="s">
        <v>16344</v>
      </c>
      <c r="O650" s="298" t="s">
        <v>16344</v>
      </c>
      <c r="P650" s="299" t="s">
        <v>15857</v>
      </c>
      <c r="Q650" s="300" t="s">
        <v>16345</v>
      </c>
      <c r="R650" s="182" t="str">
        <f ca="1">IF(ISERROR($V650),"",OFFSET('Smelter Look-up'!$C$4,$V650-4,0)&amp;"")</f>
        <v>Jiujiang Tanbre Co., Ltd.</v>
      </c>
      <c r="S650" s="181" t="str">
        <f t="shared" ca="1" si="92"/>
        <v>CN</v>
      </c>
      <c r="T650" s="181" t="str">
        <f ca="1">IF(B650="","",IF(ISERROR(MATCH($J650,SorP!$B$1:$B$6226,0)),"",INDIRECT("'SorP'!$A$"&amp;MATCH($S650&amp;$J650,SorP!C:C,0))))</f>
        <v>CN-JX</v>
      </c>
      <c r="U650" s="201"/>
      <c r="V650" s="226">
        <f>IF(C650="",NA(),IF(OR(C650="Smelter not listed",C650="Smelter not yet identified"),MATCH($B650&amp;$D650,'Smelter Look-up'!$J:$J,0),MATCH($B650&amp;$C650,'Smelter Look-up'!$J:$J,0)))</f>
        <v>354</v>
      </c>
      <c r="X650" s="227">
        <f t="shared" si="93"/>
        <v>0</v>
      </c>
      <c r="AB650" s="228" t="str">
        <f t="shared" si="94"/>
        <v>TantalumJiujiang Tanbre Co., Ltd.</v>
      </c>
    </row>
    <row r="651" spans="1:28" s="227" customFormat="1" ht="54">
      <c r="A651" s="301" t="s">
        <v>745</v>
      </c>
      <c r="B651" s="293" t="s">
        <v>1121</v>
      </c>
      <c r="C651" s="294" t="s">
        <v>44</v>
      </c>
      <c r="D651" s="295" t="s">
        <v>44</v>
      </c>
      <c r="E651" s="293" t="s">
        <v>1090</v>
      </c>
      <c r="F651" s="293" t="s">
        <v>745</v>
      </c>
      <c r="G651" s="293" t="s">
        <v>13217</v>
      </c>
      <c r="H651" s="296" t="s">
        <v>16429</v>
      </c>
      <c r="I651" s="297" t="s">
        <v>1708</v>
      </c>
      <c r="J651" s="297" t="s">
        <v>13596</v>
      </c>
      <c r="K651" s="298" t="s">
        <v>16430</v>
      </c>
      <c r="L651" s="298" t="s">
        <v>16431</v>
      </c>
      <c r="M651" s="298" t="s">
        <v>15855</v>
      </c>
      <c r="N651" s="298" t="s">
        <v>16426</v>
      </c>
      <c r="O651" s="298" t="s">
        <v>15989</v>
      </c>
      <c r="P651" s="299" t="s">
        <v>15857</v>
      </c>
      <c r="Q651" s="300" t="s">
        <v>15855</v>
      </c>
      <c r="R651" s="182" t="str">
        <f ca="1">IF(ISERROR($V651),"",OFFSET('Smelter Look-up'!$C$4,$V651-4,0)&amp;"")</f>
        <v>Jiujiang Tanbre Co., Ltd.</v>
      </c>
      <c r="S651" s="181" t="str">
        <f t="shared" ca="1" si="92"/>
        <v>CN</v>
      </c>
      <c r="T651" s="181" t="str">
        <f ca="1">IF(B651="","",IF(ISERROR(MATCH($J651,SorP!$B$1:$B$6226,0)),"",INDIRECT("'SorP'!$A$"&amp;MATCH($S651&amp;$J651,SorP!C:C,0))))</f>
        <v>CN-JX</v>
      </c>
      <c r="U651" s="201"/>
      <c r="V651" s="226">
        <f>IF(C651="",NA(),IF(OR(C651="Smelter not listed",C651="Smelter not yet identified"),MATCH($B651&amp;$D651,'Smelter Look-up'!$J:$J,0),MATCH($B651&amp;$C651,'Smelter Look-up'!$J:$J,0)))</f>
        <v>354</v>
      </c>
      <c r="X651" s="227">
        <f t="shared" si="93"/>
        <v>0</v>
      </c>
      <c r="AB651" s="228" t="str">
        <f t="shared" si="94"/>
        <v>TantalumJiujiang Tanbre Co., Ltd.</v>
      </c>
    </row>
    <row r="652" spans="1:28" s="227" customFormat="1" ht="108">
      <c r="A652" s="301" t="s">
        <v>1387</v>
      </c>
      <c r="B652" s="293" t="s">
        <v>1121</v>
      </c>
      <c r="C652" s="294" t="s">
        <v>2153</v>
      </c>
      <c r="D652" s="295" t="s">
        <v>2153</v>
      </c>
      <c r="E652" s="293" t="s">
        <v>1090</v>
      </c>
      <c r="F652" s="293" t="s">
        <v>1387</v>
      </c>
      <c r="G652" s="293" t="s">
        <v>13217</v>
      </c>
      <c r="H652" s="296" t="s">
        <v>15855</v>
      </c>
      <c r="I652" s="297" t="s">
        <v>1708</v>
      </c>
      <c r="J652" s="297" t="s">
        <v>13596</v>
      </c>
      <c r="K652" s="298" t="s">
        <v>15855</v>
      </c>
      <c r="L652" s="298" t="s">
        <v>15855</v>
      </c>
      <c r="M652" s="298" t="s">
        <v>15855</v>
      </c>
      <c r="N652" s="298" t="s">
        <v>15855</v>
      </c>
      <c r="O652" s="298" t="s">
        <v>15855</v>
      </c>
      <c r="P652" s="299" t="s">
        <v>15857</v>
      </c>
      <c r="Q652" s="300" t="s">
        <v>15855</v>
      </c>
      <c r="R652" s="182" t="str">
        <f ca="1">IF(ISERROR($V652),"",OFFSET('Smelter Look-up'!$C$4,$V652-4,0)&amp;"")</f>
        <v>Jiujiang Zhongao Tantalum &amp; Niobium Co., Ltd.</v>
      </c>
      <c r="S652" s="181" t="str">
        <f t="shared" ca="1" si="92"/>
        <v>CN</v>
      </c>
      <c r="T652" s="181" t="str">
        <f ca="1">IF(B652="","",IF(ISERROR(MATCH($J652,SorP!$B$1:$B$6226,0)),"",INDIRECT("'SorP'!$A$"&amp;MATCH($S652&amp;$J652,SorP!C:C,0))))</f>
        <v>CN-JX</v>
      </c>
      <c r="U652" s="201"/>
      <c r="V652" s="226">
        <f>IF(C652="",NA(),IF(OR(C652="Smelter not listed",C652="Smelter not yet identified"),MATCH($B652&amp;$D652,'Smelter Look-up'!$J:$J,0),MATCH($B652&amp;$C652,'Smelter Look-up'!$J:$J,0)))</f>
        <v>355</v>
      </c>
      <c r="X652" s="227">
        <f t="shared" si="93"/>
        <v>0</v>
      </c>
      <c r="AB652" s="228" t="str">
        <f t="shared" si="94"/>
        <v>TantalumJiujiang Zhongao Tantalum &amp; Niobium Co., Ltd.</v>
      </c>
    </row>
    <row r="653" spans="1:28" s="227" customFormat="1" ht="108">
      <c r="A653" s="301" t="s">
        <v>1387</v>
      </c>
      <c r="B653" s="293" t="s">
        <v>1121</v>
      </c>
      <c r="C653" s="294" t="s">
        <v>2153</v>
      </c>
      <c r="D653" s="295" t="s">
        <v>2153</v>
      </c>
      <c r="E653" s="293" t="s">
        <v>1090</v>
      </c>
      <c r="F653" s="293" t="s">
        <v>1387</v>
      </c>
      <c r="G653" s="293" t="s">
        <v>13217</v>
      </c>
      <c r="H653" s="296" t="s">
        <v>15855</v>
      </c>
      <c r="I653" s="297" t="s">
        <v>1708</v>
      </c>
      <c r="J653" s="297" t="s">
        <v>13596</v>
      </c>
      <c r="K653" s="298" t="s">
        <v>15855</v>
      </c>
      <c r="L653" s="298" t="s">
        <v>15855</v>
      </c>
      <c r="M653" s="298" t="s">
        <v>15855</v>
      </c>
      <c r="N653" s="298" t="s">
        <v>15855</v>
      </c>
      <c r="O653" s="298" t="s">
        <v>15858</v>
      </c>
      <c r="P653" s="299" t="s">
        <v>15857</v>
      </c>
      <c r="Q653" s="300" t="s">
        <v>15855</v>
      </c>
      <c r="R653" s="182" t="str">
        <f ca="1">IF(ISERROR($V653),"",OFFSET('Smelter Look-up'!$C$4,$V653-4,0)&amp;"")</f>
        <v>Jiujiang Zhongao Tantalum &amp; Niobium Co., Ltd.</v>
      </c>
      <c r="S653" s="181" t="str">
        <f t="shared" ca="1" si="92"/>
        <v>CN</v>
      </c>
      <c r="T653" s="181" t="str">
        <f ca="1">IF(B653="","",IF(ISERROR(MATCH($J653,SorP!$B$1:$B$6226,0)),"",INDIRECT("'SorP'!$A$"&amp;MATCH($S653&amp;$J653,SorP!C:C,0))))</f>
        <v>CN-JX</v>
      </c>
      <c r="U653" s="201"/>
      <c r="V653" s="226">
        <f>IF(C653="",NA(),IF(OR(C653="Smelter not listed",C653="Smelter not yet identified"),MATCH($B653&amp;$D653,'Smelter Look-up'!$J:$J,0),MATCH($B653&amp;$C653,'Smelter Look-up'!$J:$J,0)))</f>
        <v>355</v>
      </c>
      <c r="X653" s="227">
        <f t="shared" si="93"/>
        <v>0</v>
      </c>
      <c r="AB653" s="228" t="str">
        <f t="shared" si="94"/>
        <v>TantalumJiujiang Zhongao Tantalum &amp; Niobium Co., Ltd.</v>
      </c>
    </row>
    <row r="654" spans="1:28" s="227" customFormat="1" ht="108">
      <c r="A654" s="301" t="s">
        <v>1387</v>
      </c>
      <c r="B654" s="293" t="s">
        <v>1121</v>
      </c>
      <c r="C654" s="294" t="s">
        <v>2153</v>
      </c>
      <c r="D654" s="295" t="s">
        <v>2153</v>
      </c>
      <c r="E654" s="293" t="s">
        <v>1090</v>
      </c>
      <c r="F654" s="293" t="s">
        <v>1387</v>
      </c>
      <c r="G654" s="293" t="s">
        <v>13217</v>
      </c>
      <c r="H654" s="296" t="s">
        <v>15855</v>
      </c>
      <c r="I654" s="297" t="s">
        <v>1708</v>
      </c>
      <c r="J654" s="297" t="s">
        <v>13596</v>
      </c>
      <c r="K654" s="298" t="s">
        <v>16432</v>
      </c>
      <c r="L654" s="298" t="s">
        <v>16433</v>
      </c>
      <c r="M654" s="298" t="s">
        <v>15869</v>
      </c>
      <c r="N654" s="298" t="s">
        <v>15862</v>
      </c>
      <c r="O654" s="298" t="s">
        <v>16334</v>
      </c>
      <c r="P654" s="299" t="s">
        <v>15857</v>
      </c>
      <c r="Q654" s="300" t="s">
        <v>15855</v>
      </c>
      <c r="R654" s="182" t="str">
        <f ca="1">IF(ISERROR($V654),"",OFFSET('Smelter Look-up'!$C$4,$V654-4,0)&amp;"")</f>
        <v>Jiujiang Zhongao Tantalum &amp; Niobium Co., Ltd.</v>
      </c>
      <c r="S654" s="181" t="str">
        <f t="shared" ca="1" si="92"/>
        <v>CN</v>
      </c>
      <c r="T654" s="181" t="str">
        <f ca="1">IF(B654="","",IF(ISERROR(MATCH($J654,SorP!$B$1:$B$6226,0)),"",INDIRECT("'SorP'!$A$"&amp;MATCH($S654&amp;$J654,SorP!C:C,0))))</f>
        <v>CN-JX</v>
      </c>
      <c r="U654" s="201"/>
      <c r="V654" s="226">
        <f>IF(C654="",NA(),IF(OR(C654="Smelter not listed",C654="Smelter not yet identified"),MATCH($B654&amp;$D654,'Smelter Look-up'!$J:$J,0),MATCH($B654&amp;$C654,'Smelter Look-up'!$J:$J,0)))</f>
        <v>355</v>
      </c>
      <c r="X654" s="227">
        <f t="shared" si="93"/>
        <v>0</v>
      </c>
      <c r="AB654" s="228" t="str">
        <f t="shared" si="94"/>
        <v>TantalumJiujiang Zhongao Tantalum &amp; Niobium Co., Ltd.</v>
      </c>
    </row>
    <row r="655" spans="1:28" s="227" customFormat="1" ht="108">
      <c r="A655" s="301" t="s">
        <v>1387</v>
      </c>
      <c r="B655" s="293" t="s">
        <v>1121</v>
      </c>
      <c r="C655" s="294" t="s">
        <v>2153</v>
      </c>
      <c r="D655" s="295" t="s">
        <v>2153</v>
      </c>
      <c r="E655" s="293" t="s">
        <v>1090</v>
      </c>
      <c r="F655" s="293" t="s">
        <v>1387</v>
      </c>
      <c r="G655" s="293" t="s">
        <v>13217</v>
      </c>
      <c r="H655" s="302" t="s">
        <v>15880</v>
      </c>
      <c r="I655" s="297" t="s">
        <v>1708</v>
      </c>
      <c r="J655" s="297" t="s">
        <v>13596</v>
      </c>
      <c r="K655" s="298" t="s">
        <v>15855</v>
      </c>
      <c r="L655" s="298" t="s">
        <v>15855</v>
      </c>
      <c r="M655" s="298" t="s">
        <v>15855</v>
      </c>
      <c r="N655" s="298" t="s">
        <v>15855</v>
      </c>
      <c r="O655" s="298" t="s">
        <v>15855</v>
      </c>
      <c r="P655" s="299" t="s">
        <v>15857</v>
      </c>
      <c r="Q655" s="300" t="s">
        <v>15855</v>
      </c>
      <c r="R655" s="182" t="str">
        <f ca="1">IF(ISERROR($V655),"",OFFSET('Smelter Look-up'!$C$4,$V655-4,0)&amp;"")</f>
        <v>Jiujiang Zhongao Tantalum &amp; Niobium Co., Ltd.</v>
      </c>
      <c r="S655" s="181" t="str">
        <f t="shared" ca="1" si="92"/>
        <v>CN</v>
      </c>
      <c r="T655" s="181" t="str">
        <f ca="1">IF(B655="","",IF(ISERROR(MATCH($J655,SorP!$B$1:$B$6226,0)),"",INDIRECT("'SorP'!$A$"&amp;MATCH($S655&amp;$J655,SorP!C:C,0))))</f>
        <v>CN-JX</v>
      </c>
      <c r="U655" s="201"/>
      <c r="V655" s="226">
        <f>IF(C655="",NA(),IF(OR(C655="Smelter not listed",C655="Smelter not yet identified"),MATCH($B655&amp;$D655,'Smelter Look-up'!$J:$J,0),MATCH($B655&amp;$C655,'Smelter Look-up'!$J:$J,0)))</f>
        <v>355</v>
      </c>
      <c r="X655" s="227">
        <f t="shared" si="93"/>
        <v>0</v>
      </c>
      <c r="AB655" s="228" t="str">
        <f t="shared" si="94"/>
        <v>TantalumJiujiang Zhongao Tantalum &amp; Niobium Co., Ltd.</v>
      </c>
    </row>
    <row r="656" spans="1:28" s="227" customFormat="1" ht="108">
      <c r="A656" s="301" t="s">
        <v>1387</v>
      </c>
      <c r="B656" s="293" t="s">
        <v>1121</v>
      </c>
      <c r="C656" s="294" t="s">
        <v>2153</v>
      </c>
      <c r="D656" s="295" t="s">
        <v>2153</v>
      </c>
      <c r="E656" s="293" t="s">
        <v>1090</v>
      </c>
      <c r="F656" s="293" t="s">
        <v>1387</v>
      </c>
      <c r="G656" s="293" t="s">
        <v>13217</v>
      </c>
      <c r="H656" s="296" t="s">
        <v>16434</v>
      </c>
      <c r="I656" s="297" t="s">
        <v>1708</v>
      </c>
      <c r="J656" s="297" t="s">
        <v>13596</v>
      </c>
      <c r="K656" s="298" t="s">
        <v>16435</v>
      </c>
      <c r="L656" s="298" t="s">
        <v>16436</v>
      </c>
      <c r="M656" s="298" t="s">
        <v>16343</v>
      </c>
      <c r="N656" s="298" t="s">
        <v>16344</v>
      </c>
      <c r="O656" s="298" t="s">
        <v>16344</v>
      </c>
      <c r="P656" s="299" t="s">
        <v>15857</v>
      </c>
      <c r="Q656" s="300" t="s">
        <v>16345</v>
      </c>
      <c r="R656" s="182" t="str">
        <f ca="1">IF(ISERROR($V656),"",OFFSET('Smelter Look-up'!$C$4,$V656-4,0)&amp;"")</f>
        <v>Jiujiang Zhongao Tantalum &amp; Niobium Co., Ltd.</v>
      </c>
      <c r="S656" s="181" t="str">
        <f t="shared" ca="1" si="92"/>
        <v>CN</v>
      </c>
      <c r="T656" s="181" t="str">
        <f ca="1">IF(B656="","",IF(ISERROR(MATCH($J656,SorP!$B$1:$B$6226,0)),"",INDIRECT("'SorP'!$A$"&amp;MATCH($S656&amp;$J656,SorP!C:C,0))))</f>
        <v>CN-JX</v>
      </c>
      <c r="U656" s="201"/>
      <c r="V656" s="226">
        <f>IF(C656="",NA(),IF(OR(C656="Smelter not listed",C656="Smelter not yet identified"),MATCH($B656&amp;$D656,'Smelter Look-up'!$J:$J,0),MATCH($B656&amp;$C656,'Smelter Look-up'!$J:$J,0)))</f>
        <v>355</v>
      </c>
      <c r="X656" s="227">
        <f t="shared" si="93"/>
        <v>0</v>
      </c>
      <c r="AB656" s="228" t="str">
        <f t="shared" si="94"/>
        <v>TantalumJiujiang Zhongao Tantalum &amp; Niobium Co., Ltd.</v>
      </c>
    </row>
    <row r="657" spans="1:28" s="227" customFormat="1" ht="54">
      <c r="A657" s="301" t="s">
        <v>1412</v>
      </c>
      <c r="B657" s="293" t="s">
        <v>1121</v>
      </c>
      <c r="C657" s="294" t="s">
        <v>1411</v>
      </c>
      <c r="D657" s="295" t="s">
        <v>1411</v>
      </c>
      <c r="E657" s="293" t="s">
        <v>1103</v>
      </c>
      <c r="F657" s="293" t="s">
        <v>1412</v>
      </c>
      <c r="G657" s="293" t="s">
        <v>13217</v>
      </c>
      <c r="H657" s="296" t="s">
        <v>16437</v>
      </c>
      <c r="I657" s="297" t="s">
        <v>1732</v>
      </c>
      <c r="J657" s="297" t="s">
        <v>1733</v>
      </c>
      <c r="K657" s="298" t="s">
        <v>16438</v>
      </c>
      <c r="L657" s="298" t="s">
        <v>16439</v>
      </c>
      <c r="M657" s="298" t="s">
        <v>16343</v>
      </c>
      <c r="N657" s="298" t="s">
        <v>16344</v>
      </c>
      <c r="O657" s="298" t="s">
        <v>16344</v>
      </c>
      <c r="P657" s="299" t="s">
        <v>15857</v>
      </c>
      <c r="Q657" s="300" t="s">
        <v>16345</v>
      </c>
      <c r="R657" s="182" t="str">
        <f ca="1">IF(ISERROR($V657),"",OFFSET('Smelter Look-up'!$C$4,$V657-4,0)&amp;"")</f>
        <v>KEMET de Mexico</v>
      </c>
      <c r="S657" s="181" t="str">
        <f t="shared" ca="1" si="92"/>
        <v>MX</v>
      </c>
      <c r="T657" s="181" t="str">
        <f ca="1">IF(B657="","",IF(ISERROR(MATCH($J657,SorP!$B$1:$B$6226,0)),"",INDIRECT("'SorP'!$A$"&amp;MATCH($S657&amp;$J657,SorP!C:C,0))))</f>
        <v>MX-TAM</v>
      </c>
      <c r="U657" s="201"/>
      <c r="V657" s="226">
        <f>IF(C657="",NA(),IF(OR(C657="Smelter not listed",C657="Smelter not yet identified"),MATCH($B657&amp;$D657,'Smelter Look-up'!$J:$J,0),MATCH($B657&amp;$C657,'Smelter Look-up'!$J:$J,0)))</f>
        <v>356</v>
      </c>
      <c r="X657" s="227">
        <f t="shared" si="93"/>
        <v>0</v>
      </c>
      <c r="AB657" s="228" t="str">
        <f t="shared" si="94"/>
        <v>TantalumKEMET Blue Metals</v>
      </c>
    </row>
    <row r="658" spans="1:28" s="227" customFormat="1" ht="54">
      <c r="A658" s="301" t="s">
        <v>1412</v>
      </c>
      <c r="B658" s="293" t="s">
        <v>1121</v>
      </c>
      <c r="C658" s="294" t="s">
        <v>15052</v>
      </c>
      <c r="D658" s="295" t="s">
        <v>1411</v>
      </c>
      <c r="E658" s="293" t="s">
        <v>1103</v>
      </c>
      <c r="F658" s="293" t="s">
        <v>1412</v>
      </c>
      <c r="G658" s="293" t="s">
        <v>13217</v>
      </c>
      <c r="H658" s="296" t="s">
        <v>15855</v>
      </c>
      <c r="I658" s="297" t="s">
        <v>1732</v>
      </c>
      <c r="J658" s="297" t="s">
        <v>1733</v>
      </c>
      <c r="K658" s="298" t="s">
        <v>15855</v>
      </c>
      <c r="L658" s="298" t="s">
        <v>15855</v>
      </c>
      <c r="M658" s="298" t="s">
        <v>15855</v>
      </c>
      <c r="N658" s="298" t="s">
        <v>15855</v>
      </c>
      <c r="O658" s="298" t="s">
        <v>15925</v>
      </c>
      <c r="P658" s="299" t="s">
        <v>15857</v>
      </c>
      <c r="Q658" s="300" t="s">
        <v>15855</v>
      </c>
      <c r="R658" s="182" t="str">
        <f ca="1">IF(ISERROR($V658),"",OFFSET('Smelter Look-up'!$C$4,$V658-4,0)&amp;"")</f>
        <v>KEMET de Mexico</v>
      </c>
      <c r="S658" s="181" t="str">
        <f t="shared" ca="1" si="92"/>
        <v>MX</v>
      </c>
      <c r="T658" s="181" t="str">
        <f ca="1">IF(B658="","",IF(ISERROR(MATCH($J658,SorP!$B$1:$B$6226,0)),"",INDIRECT("'SorP'!$A$"&amp;MATCH($S658&amp;$J658,SorP!C:C,0))))</f>
        <v>MX-TAM</v>
      </c>
      <c r="U658" s="201"/>
      <c r="V658" s="226">
        <f>IF(C658="",NA(),IF(OR(C658="Smelter not listed",C658="Smelter not yet identified"),MATCH($B658&amp;$D658,'Smelter Look-up'!$J:$J,0),MATCH($B658&amp;$C658,'Smelter Look-up'!$J:$J,0)))</f>
        <v>357</v>
      </c>
      <c r="X658" s="227">
        <f t="shared" si="93"/>
        <v>0</v>
      </c>
      <c r="AB658" s="228" t="str">
        <f t="shared" si="94"/>
        <v>TantalumKEMET de Mexico</v>
      </c>
    </row>
    <row r="659" spans="1:28" s="227" customFormat="1" ht="54">
      <c r="A659" s="301" t="s">
        <v>1412</v>
      </c>
      <c r="B659" s="293" t="s">
        <v>1121</v>
      </c>
      <c r="C659" s="294" t="s">
        <v>15052</v>
      </c>
      <c r="D659" s="295" t="s">
        <v>15052</v>
      </c>
      <c r="E659" s="293" t="s">
        <v>1103</v>
      </c>
      <c r="F659" s="293" t="s">
        <v>1412</v>
      </c>
      <c r="G659" s="293" t="s">
        <v>13217</v>
      </c>
      <c r="H659" s="296" t="s">
        <v>15855</v>
      </c>
      <c r="I659" s="297" t="s">
        <v>1732</v>
      </c>
      <c r="J659" s="297" t="s">
        <v>1733</v>
      </c>
      <c r="K659" s="298" t="s">
        <v>15855</v>
      </c>
      <c r="L659" s="298" t="s">
        <v>15855</v>
      </c>
      <c r="M659" s="298" t="s">
        <v>15855</v>
      </c>
      <c r="N659" s="298" t="s">
        <v>15855</v>
      </c>
      <c r="O659" s="298" t="s">
        <v>15855</v>
      </c>
      <c r="P659" s="299" t="s">
        <v>15857</v>
      </c>
      <c r="Q659" s="300" t="s">
        <v>15855</v>
      </c>
      <c r="R659" s="182" t="str">
        <f ca="1">IF(ISERROR($V659),"",OFFSET('Smelter Look-up'!$C$4,$V659-4,0)&amp;"")</f>
        <v>KEMET de Mexico</v>
      </c>
      <c r="S659" s="181" t="str">
        <f t="shared" ca="1" si="92"/>
        <v>MX</v>
      </c>
      <c r="T659" s="181" t="str">
        <f ca="1">IF(B659="","",IF(ISERROR(MATCH($J659,SorP!$B$1:$B$6226,0)),"",INDIRECT("'SorP'!$A$"&amp;MATCH($S659&amp;$J659,SorP!C:C,0))))</f>
        <v>MX-TAM</v>
      </c>
      <c r="U659" s="201"/>
      <c r="V659" s="226">
        <f>IF(C659="",NA(),IF(OR(C659="Smelter not listed",C659="Smelter not yet identified"),MATCH($B659&amp;$D659,'Smelter Look-up'!$J:$J,0),MATCH($B659&amp;$C659,'Smelter Look-up'!$J:$J,0)))</f>
        <v>357</v>
      </c>
      <c r="X659" s="227">
        <f t="shared" si="93"/>
        <v>0</v>
      </c>
      <c r="AB659" s="228" t="str">
        <f t="shared" si="94"/>
        <v>TantalumKEMET de Mexico</v>
      </c>
    </row>
    <row r="660" spans="1:28" s="227" customFormat="1" ht="135">
      <c r="A660" s="301" t="s">
        <v>1412</v>
      </c>
      <c r="B660" s="293" t="s">
        <v>1121</v>
      </c>
      <c r="C660" s="294" t="s">
        <v>15052</v>
      </c>
      <c r="D660" s="295" t="s">
        <v>15052</v>
      </c>
      <c r="E660" s="293" t="s">
        <v>16440</v>
      </c>
      <c r="F660" s="293" t="s">
        <v>1412</v>
      </c>
      <c r="G660" s="293" t="s">
        <v>13217</v>
      </c>
      <c r="H660" s="296" t="s">
        <v>15855</v>
      </c>
      <c r="I660" s="297" t="s">
        <v>1732</v>
      </c>
      <c r="J660" s="297" t="s">
        <v>1733</v>
      </c>
      <c r="K660" s="298" t="s">
        <v>15855</v>
      </c>
      <c r="L660" s="298" t="s">
        <v>15855</v>
      </c>
      <c r="M660" s="298" t="s">
        <v>15855</v>
      </c>
      <c r="N660" s="298" t="s">
        <v>15855</v>
      </c>
      <c r="O660" s="298" t="s">
        <v>16441</v>
      </c>
      <c r="P660" s="299" t="s">
        <v>15857</v>
      </c>
      <c r="Q660" s="300" t="s">
        <v>15855</v>
      </c>
      <c r="R660" s="182" t="str">
        <f ca="1">IF(ISERROR($V660),"",OFFSET('Smelter Look-up'!$C$4,$V660-4,0)&amp;"")</f>
        <v>KEMET de Mexico</v>
      </c>
      <c r="S660" s="181" t="str">
        <f t="shared" ca="1" si="92"/>
        <v>MX</v>
      </c>
      <c r="T660" s="181" t="str">
        <f ca="1">IF(B660="","",IF(ISERROR(MATCH($J660,SorP!$B$1:$B$6226,0)),"",INDIRECT("'SorP'!$A$"&amp;MATCH($S660&amp;$J660,SorP!C:C,0))))</f>
        <v>MX-TAM</v>
      </c>
      <c r="U660" s="201"/>
      <c r="V660" s="226">
        <f>IF(C660="",NA(),IF(OR(C660="Smelter not listed",C660="Smelter not yet identified"),MATCH($B660&amp;$D660,'Smelter Look-up'!$J:$J,0),MATCH($B660&amp;$C660,'Smelter Look-up'!$J:$J,0)))</f>
        <v>357</v>
      </c>
      <c r="X660" s="227">
        <f t="shared" si="93"/>
        <v>0</v>
      </c>
      <c r="AB660" s="228" t="str">
        <f t="shared" si="94"/>
        <v>TantalumKEMET de Mexico</v>
      </c>
    </row>
    <row r="661" spans="1:28" s="227" customFormat="1" ht="54">
      <c r="A661" s="301" t="s">
        <v>1412</v>
      </c>
      <c r="B661" s="293" t="s">
        <v>1121</v>
      </c>
      <c r="C661" s="294" t="s">
        <v>15052</v>
      </c>
      <c r="D661" s="295" t="s">
        <v>15052</v>
      </c>
      <c r="E661" s="293" t="s">
        <v>1103</v>
      </c>
      <c r="F661" s="293" t="s">
        <v>1412</v>
      </c>
      <c r="G661" s="293" t="s">
        <v>13217</v>
      </c>
      <c r="H661" s="296" t="s">
        <v>15855</v>
      </c>
      <c r="I661" s="297" t="s">
        <v>1732</v>
      </c>
      <c r="J661" s="297" t="s">
        <v>1733</v>
      </c>
      <c r="K661" s="298" t="s">
        <v>16438</v>
      </c>
      <c r="L661" s="298" t="s">
        <v>16439</v>
      </c>
      <c r="M661" s="298" t="s">
        <v>16442</v>
      </c>
      <c r="N661" s="298" t="s">
        <v>15862</v>
      </c>
      <c r="O661" s="298" t="s">
        <v>15871</v>
      </c>
      <c r="P661" s="299" t="s">
        <v>15857</v>
      </c>
      <c r="Q661" s="300" t="s">
        <v>15855</v>
      </c>
      <c r="R661" s="182" t="str">
        <f ca="1">IF(ISERROR($V661),"",OFFSET('Smelter Look-up'!$C$4,$V661-4,0)&amp;"")</f>
        <v>KEMET de Mexico</v>
      </c>
      <c r="S661" s="181" t="str">
        <f t="shared" ca="1" si="92"/>
        <v>MX</v>
      </c>
      <c r="T661" s="181" t="str">
        <f ca="1">IF(B661="","",IF(ISERROR(MATCH($J661,SorP!$B$1:$B$6226,0)),"",INDIRECT("'SorP'!$A$"&amp;MATCH($S661&amp;$J661,SorP!C:C,0))))</f>
        <v>MX-TAM</v>
      </c>
      <c r="U661" s="201"/>
      <c r="V661" s="226">
        <f>IF(C661="",NA(),IF(OR(C661="Smelter not listed",C661="Smelter not yet identified"),MATCH($B661&amp;$D661,'Smelter Look-up'!$J:$J,0),MATCH($B661&amp;$C661,'Smelter Look-up'!$J:$J,0)))</f>
        <v>357</v>
      </c>
      <c r="X661" s="227">
        <f t="shared" si="93"/>
        <v>0</v>
      </c>
      <c r="AB661" s="228" t="str">
        <f t="shared" si="94"/>
        <v>TantalumKEMET de Mexico</v>
      </c>
    </row>
    <row r="662" spans="1:28" s="227" customFormat="1" ht="54">
      <c r="A662" s="301" t="s">
        <v>1412</v>
      </c>
      <c r="B662" s="293" t="s">
        <v>1121</v>
      </c>
      <c r="C662" s="294" t="s">
        <v>15052</v>
      </c>
      <c r="D662" s="295" t="s">
        <v>15052</v>
      </c>
      <c r="E662" s="293" t="s">
        <v>1103</v>
      </c>
      <c r="F662" s="293" t="s">
        <v>1412</v>
      </c>
      <c r="G662" s="293" t="s">
        <v>13217</v>
      </c>
      <c r="H662" s="302" t="s">
        <v>15880</v>
      </c>
      <c r="I662" s="297" t="s">
        <v>1732</v>
      </c>
      <c r="J662" s="297" t="s">
        <v>1733</v>
      </c>
      <c r="K662" s="298" t="s">
        <v>15855</v>
      </c>
      <c r="L662" s="298" t="s">
        <v>15855</v>
      </c>
      <c r="M662" s="298" t="s">
        <v>15855</v>
      </c>
      <c r="N662" s="298" t="s">
        <v>15855</v>
      </c>
      <c r="O662" s="298" t="s">
        <v>15855</v>
      </c>
      <c r="P662" s="299" t="s">
        <v>15857</v>
      </c>
      <c r="Q662" s="300" t="s">
        <v>15855</v>
      </c>
      <c r="R662" s="182" t="str">
        <f ca="1">IF(ISERROR($V662),"",OFFSET('Smelter Look-up'!$C$4,$V662-4,0)&amp;"")</f>
        <v>KEMET de Mexico</v>
      </c>
      <c r="S662" s="181" t="str">
        <f t="shared" ca="1" si="92"/>
        <v>MX</v>
      </c>
      <c r="T662" s="181" t="str">
        <f ca="1">IF(B662="","",IF(ISERROR(MATCH($J662,SorP!$B$1:$B$6226,0)),"",INDIRECT("'SorP'!$A$"&amp;MATCH($S662&amp;$J662,SorP!C:C,0))))</f>
        <v>MX-TAM</v>
      </c>
      <c r="U662" s="201"/>
      <c r="V662" s="226">
        <f>IF(C662="",NA(),IF(OR(C662="Smelter not listed",C662="Smelter not yet identified"),MATCH($B662&amp;$D662,'Smelter Look-up'!$J:$J,0),MATCH($B662&amp;$C662,'Smelter Look-up'!$J:$J,0)))</f>
        <v>357</v>
      </c>
      <c r="X662" s="227">
        <f t="shared" si="93"/>
        <v>0</v>
      </c>
      <c r="AB662" s="228" t="str">
        <f t="shared" si="94"/>
        <v>TantalumKEMET de Mexico</v>
      </c>
    </row>
    <row r="663" spans="1:28" s="227" customFormat="1" ht="40.5">
      <c r="A663" s="301" t="s">
        <v>746</v>
      </c>
      <c r="B663" s="293" t="s">
        <v>1121</v>
      </c>
      <c r="C663" s="294" t="s">
        <v>15431</v>
      </c>
      <c r="D663" s="295" t="s">
        <v>45</v>
      </c>
      <c r="E663" s="293" t="s">
        <v>1086</v>
      </c>
      <c r="F663" s="293" t="s">
        <v>746</v>
      </c>
      <c r="G663" s="293" t="s">
        <v>13217</v>
      </c>
      <c r="H663" s="296" t="s">
        <v>15855</v>
      </c>
      <c r="I663" s="297" t="s">
        <v>1709</v>
      </c>
      <c r="J663" s="297" t="s">
        <v>1540</v>
      </c>
      <c r="K663" s="298" t="s">
        <v>15855</v>
      </c>
      <c r="L663" s="298" t="s">
        <v>15855</v>
      </c>
      <c r="M663" s="298" t="s">
        <v>15855</v>
      </c>
      <c r="N663" s="298" t="s">
        <v>15855</v>
      </c>
      <c r="O663" s="298" t="s">
        <v>15858</v>
      </c>
      <c r="P663" s="299" t="s">
        <v>15857</v>
      </c>
      <c r="Q663" s="300" t="s">
        <v>15855</v>
      </c>
      <c r="R663" s="182" t="str">
        <f ca="1">IF(ISERROR($V663),"",OFFSET('Smelter Look-up'!$C$4,$V663-4,0)&amp;"")</f>
        <v>AMG Brasil</v>
      </c>
      <c r="S663" s="181" t="str">
        <f t="shared" ca="1" si="92"/>
        <v>BR</v>
      </c>
      <c r="T663" s="181" t="str">
        <f ca="1">IF(B663="","",IF(ISERROR(MATCH($J663,SorP!$B$1:$B$6226,0)),"",INDIRECT("'SorP'!$A$"&amp;MATCH($S663&amp;$J663,SorP!C:C,0))))</f>
        <v>BR-MG</v>
      </c>
      <c r="U663" s="201"/>
      <c r="V663" s="226">
        <f>IF(C663="",NA(),IF(OR(C663="Smelter not listed",C663="Smelter not yet identified"),MATCH($B663&amp;$D663,'Smelter Look-up'!$J:$J,0),MATCH($B663&amp;$C663,'Smelter Look-up'!$J:$J,0)))</f>
        <v>334</v>
      </c>
      <c r="X663" s="227">
        <f t="shared" si="93"/>
        <v>0</v>
      </c>
      <c r="AB663" s="228" t="str">
        <f t="shared" si="94"/>
        <v>TantalumAMG Brasil</v>
      </c>
    </row>
    <row r="664" spans="1:28" s="227" customFormat="1" ht="54">
      <c r="A664" s="301" t="s">
        <v>746</v>
      </c>
      <c r="B664" s="293" t="s">
        <v>1121</v>
      </c>
      <c r="C664" s="294" t="s">
        <v>45</v>
      </c>
      <c r="D664" s="295" t="s">
        <v>45</v>
      </c>
      <c r="E664" s="293" t="s">
        <v>1086</v>
      </c>
      <c r="F664" s="293" t="s">
        <v>746</v>
      </c>
      <c r="G664" s="293" t="s">
        <v>13217</v>
      </c>
      <c r="H664" s="296" t="s">
        <v>16443</v>
      </c>
      <c r="I664" s="297" t="s">
        <v>1709</v>
      </c>
      <c r="J664" s="297" t="s">
        <v>1540</v>
      </c>
      <c r="K664" s="298" t="s">
        <v>16444</v>
      </c>
      <c r="L664" s="298" t="s">
        <v>16445</v>
      </c>
      <c r="M664" s="298" t="s">
        <v>16343</v>
      </c>
      <c r="N664" s="298" t="s">
        <v>16344</v>
      </c>
      <c r="O664" s="298" t="s">
        <v>16344</v>
      </c>
      <c r="P664" s="299" t="s">
        <v>15857</v>
      </c>
      <c r="Q664" s="300" t="s">
        <v>16345</v>
      </c>
      <c r="R664" s="182" t="str">
        <f ca="1">IF(ISERROR($V664),"",OFFSET('Smelter Look-up'!$C$4,$V664-4,0)&amp;"")</f>
        <v>AMG Brasil</v>
      </c>
      <c r="S664" s="181" t="str">
        <f t="shared" ca="1" si="92"/>
        <v>BR</v>
      </c>
      <c r="T664" s="181" t="str">
        <f ca="1">IF(B664="","",IF(ISERROR(MATCH($J664,SorP!$B$1:$B$6226,0)),"",INDIRECT("'SorP'!$A$"&amp;MATCH($S664&amp;$J664,SorP!C:C,0))))</f>
        <v>BR-MG</v>
      </c>
      <c r="U664" s="201"/>
      <c r="V664" s="226">
        <f>IF(C664="",NA(),IF(OR(C664="Smelter not listed",C664="Smelter not yet identified"),MATCH($B664&amp;$D664,'Smelter Look-up'!$J:$J,0),MATCH($B664&amp;$C664,'Smelter Look-up'!$J:$J,0)))</f>
        <v>358</v>
      </c>
      <c r="X664" s="227">
        <f t="shared" si="93"/>
        <v>0</v>
      </c>
      <c r="AB664" s="228" t="str">
        <f t="shared" si="94"/>
        <v>TantalumLSM Brasil S.A.</v>
      </c>
    </row>
    <row r="665" spans="1:28" s="227" customFormat="1" ht="67.5">
      <c r="A665" s="301" t="s">
        <v>1407</v>
      </c>
      <c r="B665" s="293" t="s">
        <v>1121</v>
      </c>
      <c r="C665" s="294" t="s">
        <v>15493</v>
      </c>
      <c r="D665" s="295" t="s">
        <v>15493</v>
      </c>
      <c r="E665" s="293" t="s">
        <v>2415</v>
      </c>
      <c r="F665" s="293" t="s">
        <v>1407</v>
      </c>
      <c r="G665" s="293" t="s">
        <v>13217</v>
      </c>
      <c r="H665" s="296" t="s">
        <v>15855</v>
      </c>
      <c r="I665" s="297" t="s">
        <v>1738</v>
      </c>
      <c r="J665" s="297" t="s">
        <v>1617</v>
      </c>
      <c r="K665" s="298" t="s">
        <v>15855</v>
      </c>
      <c r="L665" s="298" t="s">
        <v>15855</v>
      </c>
      <c r="M665" s="298" t="s">
        <v>15855</v>
      </c>
      <c r="N665" s="298" t="s">
        <v>15855</v>
      </c>
      <c r="O665" s="298" t="s">
        <v>16446</v>
      </c>
      <c r="P665" s="299" t="s">
        <v>15857</v>
      </c>
      <c r="Q665" s="300" t="s">
        <v>15855</v>
      </c>
      <c r="R665" s="182" t="str">
        <f ca="1">IF(ISERROR($V665),"",OFFSET('Smelter Look-up'!$C$4,$V665-4,0)&amp;"")</f>
        <v>Materion Newton Inc.</v>
      </c>
      <c r="S665" s="181" t="str">
        <f t="shared" ca="1" si="92"/>
        <v>US</v>
      </c>
      <c r="T665" s="181" t="str">
        <f ca="1">IF(B665="","",IF(ISERROR(MATCH($J665,SorP!$B$1:$B$6226,0)),"",INDIRECT("'SorP'!$A$"&amp;MATCH($S665&amp;$J665,SorP!C:C,0))))</f>
        <v>US-MA</v>
      </c>
      <c r="U665" s="201"/>
      <c r="V665" s="226">
        <f>IF(C665="",NA(),IF(OR(C665="Smelter not listed",C665="Smelter not yet identified"),MATCH($B665&amp;$D665,'Smelter Look-up'!$J:$J,0),MATCH($B665&amp;$C665,'Smelter Look-up'!$J:$J,0)))</f>
        <v>359</v>
      </c>
      <c r="X665" s="227">
        <f t="shared" si="93"/>
        <v>0</v>
      </c>
      <c r="AB665" s="228" t="str">
        <f t="shared" si="94"/>
        <v>TantalumMaterion Newton Inc.</v>
      </c>
    </row>
    <row r="666" spans="1:28" s="227" customFormat="1" ht="67.5">
      <c r="A666" s="301" t="s">
        <v>1407</v>
      </c>
      <c r="B666" s="293" t="s">
        <v>1121</v>
      </c>
      <c r="C666" s="294" t="s">
        <v>15493</v>
      </c>
      <c r="D666" s="295" t="s">
        <v>15493</v>
      </c>
      <c r="E666" s="293" t="s">
        <v>2415</v>
      </c>
      <c r="F666" s="293" t="s">
        <v>1407</v>
      </c>
      <c r="G666" s="293" t="s">
        <v>13217</v>
      </c>
      <c r="H666" s="296" t="s">
        <v>15855</v>
      </c>
      <c r="I666" s="297" t="s">
        <v>1738</v>
      </c>
      <c r="J666" s="297" t="s">
        <v>1617</v>
      </c>
      <c r="K666" s="298" t="s">
        <v>15855</v>
      </c>
      <c r="L666" s="298" t="s">
        <v>15855</v>
      </c>
      <c r="M666" s="298" t="s">
        <v>15855</v>
      </c>
      <c r="N666" s="298" t="s">
        <v>15855</v>
      </c>
      <c r="O666" s="298" t="s">
        <v>16364</v>
      </c>
      <c r="P666" s="299" t="s">
        <v>15857</v>
      </c>
      <c r="Q666" s="300" t="s">
        <v>16355</v>
      </c>
      <c r="R666" s="182" t="str">
        <f ca="1">IF(ISERROR($V666),"",OFFSET('Smelter Look-up'!$C$4,$V666-4,0)&amp;"")</f>
        <v>Materion Newton Inc.</v>
      </c>
      <c r="S666" s="181" t="str">
        <f t="shared" ca="1" si="92"/>
        <v>US</v>
      </c>
      <c r="T666" s="181" t="str">
        <f ca="1">IF(B666="","",IF(ISERROR(MATCH($J666,SorP!$B$1:$B$6226,0)),"",INDIRECT("'SorP'!$A$"&amp;MATCH($S666&amp;$J666,SorP!C:C,0))))</f>
        <v>US-MA</v>
      </c>
      <c r="U666" s="201"/>
      <c r="V666" s="226">
        <f>IF(C666="",NA(),IF(OR(C666="Smelter not listed",C666="Smelter not yet identified"),MATCH($B666&amp;$D666,'Smelter Look-up'!$J:$J,0),MATCH($B666&amp;$C666,'Smelter Look-up'!$J:$J,0)))</f>
        <v>359</v>
      </c>
      <c r="X666" s="227">
        <f t="shared" si="93"/>
        <v>0</v>
      </c>
      <c r="AB666" s="228" t="str">
        <f t="shared" si="94"/>
        <v>TantalumMaterion Newton Inc.</v>
      </c>
    </row>
    <row r="667" spans="1:28" s="227" customFormat="1" ht="67.5">
      <c r="A667" s="301" t="s">
        <v>1407</v>
      </c>
      <c r="B667" s="293" t="s">
        <v>1121</v>
      </c>
      <c r="C667" s="294" t="s">
        <v>15493</v>
      </c>
      <c r="D667" s="295" t="s">
        <v>15493</v>
      </c>
      <c r="E667" s="293" t="s">
        <v>2415</v>
      </c>
      <c r="F667" s="293" t="s">
        <v>1407</v>
      </c>
      <c r="G667" s="293" t="s">
        <v>13217</v>
      </c>
      <c r="H667" s="302" t="s">
        <v>15880</v>
      </c>
      <c r="I667" s="297" t="s">
        <v>1738</v>
      </c>
      <c r="J667" s="297" t="s">
        <v>1617</v>
      </c>
      <c r="K667" s="298" t="s">
        <v>15855</v>
      </c>
      <c r="L667" s="298" t="s">
        <v>15855</v>
      </c>
      <c r="M667" s="298" t="s">
        <v>15855</v>
      </c>
      <c r="N667" s="298" t="s">
        <v>15855</v>
      </c>
      <c r="O667" s="298" t="s">
        <v>15855</v>
      </c>
      <c r="P667" s="299" t="s">
        <v>15857</v>
      </c>
      <c r="Q667" s="300" t="s">
        <v>15855</v>
      </c>
      <c r="R667" s="182" t="str">
        <f ca="1">IF(ISERROR($V667),"",OFFSET('Smelter Look-up'!$C$4,$V667-4,0)&amp;"")</f>
        <v>Materion Newton Inc.</v>
      </c>
      <c r="S667" s="181" t="str">
        <f t="shared" ca="1" si="92"/>
        <v>US</v>
      </c>
      <c r="T667" s="181" t="str">
        <f ca="1">IF(B667="","",IF(ISERROR(MATCH($J667,SorP!$B$1:$B$6226,0)),"",INDIRECT("'SorP'!$A$"&amp;MATCH($S667&amp;$J667,SorP!C:C,0))))</f>
        <v>US-MA</v>
      </c>
      <c r="U667" s="201"/>
      <c r="V667" s="226">
        <f>IF(C667="",NA(),IF(OR(C667="Smelter not listed",C667="Smelter not yet identified"),MATCH($B667&amp;$D667,'Smelter Look-up'!$J:$J,0),MATCH($B667&amp;$C667,'Smelter Look-up'!$J:$J,0)))</f>
        <v>359</v>
      </c>
      <c r="X667" s="227">
        <f t="shared" si="93"/>
        <v>0</v>
      </c>
      <c r="AB667" s="228" t="str">
        <f t="shared" si="94"/>
        <v>TantalumMaterion Newton Inc.</v>
      </c>
    </row>
    <row r="668" spans="1:28" s="227" customFormat="1" ht="81">
      <c r="A668" s="301" t="s">
        <v>747</v>
      </c>
      <c r="B668" s="293" t="s">
        <v>1121</v>
      </c>
      <c r="C668" s="294" t="s">
        <v>2136</v>
      </c>
      <c r="D668" s="295" t="s">
        <v>2136</v>
      </c>
      <c r="E668" s="293" t="s">
        <v>1096</v>
      </c>
      <c r="F668" s="293" t="s">
        <v>747</v>
      </c>
      <c r="G668" s="293" t="s">
        <v>13217</v>
      </c>
      <c r="H668" s="296" t="s">
        <v>15855</v>
      </c>
      <c r="I668" s="297" t="s">
        <v>1710</v>
      </c>
      <c r="J668" s="297" t="s">
        <v>16447</v>
      </c>
      <c r="K668" s="298" t="s">
        <v>15855</v>
      </c>
      <c r="L668" s="298" t="s">
        <v>15855</v>
      </c>
      <c r="M668" s="298" t="s">
        <v>15855</v>
      </c>
      <c r="N668" s="298" t="s">
        <v>15855</v>
      </c>
      <c r="O668" s="298" t="s">
        <v>15855</v>
      </c>
      <c r="P668" s="299" t="s">
        <v>15857</v>
      </c>
      <c r="Q668" s="300" t="s">
        <v>15855</v>
      </c>
      <c r="R668" s="182" t="str">
        <f ca="1">IF(ISERROR($V668),"",OFFSET('Smelter Look-up'!$C$4,$V668-4,0)&amp;"")</f>
        <v>Metallurgical Products India Pvt., Ltd.</v>
      </c>
      <c r="S668" s="181" t="str">
        <f t="shared" ref="S668:S698" ca="1" si="95">IF(B668="","",IF(ISERROR(MATCH($E668,CL,0)),"Unknown",INDIRECT("'C'!$A$"&amp;MATCH($E668,CL,0)+1)))</f>
        <v>IN</v>
      </c>
      <c r="T668" s="181" t="str">
        <f ca="1">IF(B668="","",IF(ISERROR(MATCH($J668,SorP!$B$1:$B$6226,0)),"",INDIRECT("'SorP'!$A$"&amp;MATCH($S668&amp;$J668,SorP!C:C,0))))</f>
        <v/>
      </c>
      <c r="U668" s="201"/>
      <c r="V668" s="226">
        <f>IF(C668="",NA(),IF(OR(C668="Smelter not listed",C668="Smelter not yet identified"),MATCH($B668&amp;$D668,'Smelter Look-up'!$J:$J,0),MATCH($B668&amp;$C668,'Smelter Look-up'!$J:$J,0)))</f>
        <v>361</v>
      </c>
      <c r="X668" s="227">
        <f t="shared" ref="X668:X698" si="96">IF(AND(C668="Smelter not listed",OR(LEN(D668)=0,LEN(E668)=0)),1,0)</f>
        <v>0</v>
      </c>
      <c r="AB668" s="228" t="str">
        <f t="shared" ref="AB668:AB698" si="97">B668&amp;C668</f>
        <v>TantalumMetallurgical Products India Pvt., Ltd.</v>
      </c>
    </row>
    <row r="669" spans="1:28" s="227" customFormat="1" ht="81">
      <c r="A669" s="301" t="s">
        <v>747</v>
      </c>
      <c r="B669" s="293" t="s">
        <v>1121</v>
      </c>
      <c r="C669" s="294" t="s">
        <v>2136</v>
      </c>
      <c r="D669" s="295" t="s">
        <v>2136</v>
      </c>
      <c r="E669" s="293" t="s">
        <v>1096</v>
      </c>
      <c r="F669" s="293" t="s">
        <v>747</v>
      </c>
      <c r="G669" s="293" t="s">
        <v>13217</v>
      </c>
      <c r="H669" s="296" t="s">
        <v>15855</v>
      </c>
      <c r="I669" s="297" t="s">
        <v>1710</v>
      </c>
      <c r="J669" s="297" t="s">
        <v>16447</v>
      </c>
      <c r="K669" s="298" t="s">
        <v>16448</v>
      </c>
      <c r="L669" s="298" t="s">
        <v>16449</v>
      </c>
      <c r="M669" s="298" t="s">
        <v>15892</v>
      </c>
      <c r="N669" s="298" t="s">
        <v>15870</v>
      </c>
      <c r="O669" s="298" t="s">
        <v>15871</v>
      </c>
      <c r="P669" s="299" t="s">
        <v>15857</v>
      </c>
      <c r="Q669" s="300" t="s">
        <v>15855</v>
      </c>
      <c r="R669" s="182" t="str">
        <f ca="1">IF(ISERROR($V669),"",OFFSET('Smelter Look-up'!$C$4,$V669-4,0)&amp;"")</f>
        <v>Metallurgical Products India Pvt., Ltd.</v>
      </c>
      <c r="S669" s="181" t="str">
        <f t="shared" ca="1" si="95"/>
        <v>IN</v>
      </c>
      <c r="T669" s="181" t="str">
        <f ca="1">IF(B669="","",IF(ISERROR(MATCH($J669,SorP!$B$1:$B$6226,0)),"",INDIRECT("'SorP'!$A$"&amp;MATCH($S669&amp;$J669,SorP!C:C,0))))</f>
        <v/>
      </c>
      <c r="U669" s="201"/>
      <c r="V669" s="226">
        <f>IF(C669="",NA(),IF(OR(C669="Smelter not listed",C669="Smelter not yet identified"),MATCH($B669&amp;$D669,'Smelter Look-up'!$J:$J,0),MATCH($B669&amp;$C669,'Smelter Look-up'!$J:$J,0)))</f>
        <v>361</v>
      </c>
      <c r="X669" s="227">
        <f t="shared" si="96"/>
        <v>0</v>
      </c>
      <c r="AB669" s="228" t="str">
        <f t="shared" si="97"/>
        <v>TantalumMetallurgical Products India Pvt., Ltd.</v>
      </c>
    </row>
    <row r="670" spans="1:28" s="227" customFormat="1" ht="81">
      <c r="A670" s="301" t="s">
        <v>747</v>
      </c>
      <c r="B670" s="293" t="s">
        <v>1121</v>
      </c>
      <c r="C670" s="294" t="s">
        <v>2136</v>
      </c>
      <c r="D670" s="295" t="s">
        <v>2136</v>
      </c>
      <c r="E670" s="293" t="s">
        <v>1096</v>
      </c>
      <c r="F670" s="293" t="s">
        <v>747</v>
      </c>
      <c r="G670" s="293" t="s">
        <v>13217</v>
      </c>
      <c r="H670" s="296" t="s">
        <v>15855</v>
      </c>
      <c r="I670" s="297" t="s">
        <v>1710</v>
      </c>
      <c r="J670" s="297" t="s">
        <v>15410</v>
      </c>
      <c r="K670" s="298" t="s">
        <v>15855</v>
      </c>
      <c r="L670" s="298" t="s">
        <v>15855</v>
      </c>
      <c r="M670" s="298" t="s">
        <v>15855</v>
      </c>
      <c r="N670" s="298" t="s">
        <v>15855</v>
      </c>
      <c r="O670" s="298" t="s">
        <v>16450</v>
      </c>
      <c r="P670" s="299" t="s">
        <v>15857</v>
      </c>
      <c r="Q670" s="300" t="s">
        <v>15855</v>
      </c>
      <c r="R670" s="182" t="str">
        <f ca="1">IF(ISERROR($V670),"",OFFSET('Smelter Look-up'!$C$4,$V670-4,0)&amp;"")</f>
        <v>Metallurgical Products India Pvt., Ltd.</v>
      </c>
      <c r="S670" s="181" t="str">
        <f t="shared" ca="1" si="95"/>
        <v>IN</v>
      </c>
      <c r="T670" s="181" t="str">
        <f ca="1">IF(B670="","",IF(ISERROR(MATCH($J670,SorP!$B$1:$B$6226,0)),"",INDIRECT("'SorP'!$A$"&amp;MATCH($S670&amp;$J670,SorP!C:C,0))))</f>
        <v>IN-MH</v>
      </c>
      <c r="U670" s="201"/>
      <c r="V670" s="226">
        <f>IF(C670="",NA(),IF(OR(C670="Smelter not listed",C670="Smelter not yet identified"),MATCH($B670&amp;$D670,'Smelter Look-up'!$J:$J,0),MATCH($B670&amp;$C670,'Smelter Look-up'!$J:$J,0)))</f>
        <v>361</v>
      </c>
      <c r="X670" s="227">
        <f t="shared" si="96"/>
        <v>0</v>
      </c>
      <c r="AB670" s="228" t="str">
        <f t="shared" si="97"/>
        <v>TantalumMetallurgical Products India Pvt., Ltd.</v>
      </c>
    </row>
    <row r="671" spans="1:28" s="227" customFormat="1" ht="81">
      <c r="A671" s="301" t="s">
        <v>747</v>
      </c>
      <c r="B671" s="293" t="s">
        <v>1121</v>
      </c>
      <c r="C671" s="294" t="s">
        <v>2136</v>
      </c>
      <c r="D671" s="295" t="s">
        <v>2136</v>
      </c>
      <c r="E671" s="293" t="s">
        <v>1096</v>
      </c>
      <c r="F671" s="293" t="s">
        <v>747</v>
      </c>
      <c r="G671" s="293" t="s">
        <v>13217</v>
      </c>
      <c r="H671" s="302" t="s">
        <v>15880</v>
      </c>
      <c r="I671" s="297" t="s">
        <v>1710</v>
      </c>
      <c r="J671" s="297" t="s">
        <v>16447</v>
      </c>
      <c r="K671" s="298" t="s">
        <v>15855</v>
      </c>
      <c r="L671" s="298" t="s">
        <v>15855</v>
      </c>
      <c r="M671" s="298" t="s">
        <v>15855</v>
      </c>
      <c r="N671" s="298" t="s">
        <v>15855</v>
      </c>
      <c r="O671" s="298" t="s">
        <v>15855</v>
      </c>
      <c r="P671" s="299" t="s">
        <v>15857</v>
      </c>
      <c r="Q671" s="300" t="s">
        <v>15855</v>
      </c>
      <c r="R671" s="182" t="str">
        <f ca="1">IF(ISERROR($V671),"",OFFSET('Smelter Look-up'!$C$4,$V671-4,0)&amp;"")</f>
        <v>Metallurgical Products India Pvt., Ltd.</v>
      </c>
      <c r="S671" s="181" t="str">
        <f t="shared" ca="1" si="95"/>
        <v>IN</v>
      </c>
      <c r="T671" s="181" t="str">
        <f ca="1">IF(B671="","",IF(ISERROR(MATCH($J671,SorP!$B$1:$B$6226,0)),"",INDIRECT("'SorP'!$A$"&amp;MATCH($S671&amp;$J671,SorP!C:C,0))))</f>
        <v/>
      </c>
      <c r="U671" s="201"/>
      <c r="V671" s="226">
        <f>IF(C671="",NA(),IF(OR(C671="Smelter not listed",C671="Smelter not yet identified"),MATCH($B671&amp;$D671,'Smelter Look-up'!$J:$J,0),MATCH($B671&amp;$C671,'Smelter Look-up'!$J:$J,0)))</f>
        <v>361</v>
      </c>
      <c r="X671" s="227">
        <f t="shared" si="96"/>
        <v>0</v>
      </c>
      <c r="AB671" s="228" t="str">
        <f t="shared" si="97"/>
        <v>TantalumMetallurgical Products India Pvt., Ltd.</v>
      </c>
    </row>
    <row r="672" spans="1:28" s="227" customFormat="1" ht="81">
      <c r="A672" s="301" t="s">
        <v>747</v>
      </c>
      <c r="B672" s="293" t="s">
        <v>1121</v>
      </c>
      <c r="C672" s="294" t="s">
        <v>2136</v>
      </c>
      <c r="D672" s="295" t="s">
        <v>2136</v>
      </c>
      <c r="E672" s="293" t="s">
        <v>1096</v>
      </c>
      <c r="F672" s="293" t="s">
        <v>747</v>
      </c>
      <c r="G672" s="293" t="s">
        <v>13217</v>
      </c>
      <c r="H672" s="302" t="s">
        <v>15880</v>
      </c>
      <c r="I672" s="297" t="s">
        <v>1710</v>
      </c>
      <c r="J672" s="297" t="s">
        <v>15410</v>
      </c>
      <c r="K672" s="298" t="s">
        <v>15855</v>
      </c>
      <c r="L672" s="298" t="s">
        <v>15855</v>
      </c>
      <c r="M672" s="298" t="s">
        <v>15855</v>
      </c>
      <c r="N672" s="298" t="s">
        <v>15855</v>
      </c>
      <c r="O672" s="298" t="s">
        <v>15855</v>
      </c>
      <c r="P672" s="299" t="s">
        <v>15857</v>
      </c>
      <c r="Q672" s="300" t="s">
        <v>15855</v>
      </c>
      <c r="R672" s="182" t="str">
        <f ca="1">IF(ISERROR($V672),"",OFFSET('Smelter Look-up'!$C$4,$V672-4,0)&amp;"")</f>
        <v>Metallurgical Products India Pvt., Ltd.</v>
      </c>
      <c r="S672" s="181" t="str">
        <f t="shared" ca="1" si="95"/>
        <v>IN</v>
      </c>
      <c r="T672" s="181" t="str">
        <f ca="1">IF(B672="","",IF(ISERROR(MATCH($J672,SorP!$B$1:$B$6226,0)),"",INDIRECT("'SorP'!$A$"&amp;MATCH($S672&amp;$J672,SorP!C:C,0))))</f>
        <v>IN-MH</v>
      </c>
      <c r="U672" s="201"/>
      <c r="V672" s="226">
        <f>IF(C672="",NA(),IF(OR(C672="Smelter not listed",C672="Smelter not yet identified"),MATCH($B672&amp;$D672,'Smelter Look-up'!$J:$J,0),MATCH($B672&amp;$C672,'Smelter Look-up'!$J:$J,0)))</f>
        <v>361</v>
      </c>
      <c r="X672" s="227">
        <f t="shared" si="96"/>
        <v>0</v>
      </c>
      <c r="AB672" s="228" t="str">
        <f t="shared" si="97"/>
        <v>TantalumMetallurgical Products India Pvt., Ltd.</v>
      </c>
    </row>
    <row r="673" spans="1:28" s="227" customFormat="1" ht="81">
      <c r="A673" s="301" t="s">
        <v>747</v>
      </c>
      <c r="B673" s="293" t="s">
        <v>1121</v>
      </c>
      <c r="C673" s="294" t="s">
        <v>2136</v>
      </c>
      <c r="D673" s="295" t="s">
        <v>2136</v>
      </c>
      <c r="E673" s="293" t="s">
        <v>1096</v>
      </c>
      <c r="F673" s="293" t="s">
        <v>747</v>
      </c>
      <c r="G673" s="293" t="s">
        <v>13217</v>
      </c>
      <c r="H673" s="296" t="s">
        <v>16451</v>
      </c>
      <c r="I673" s="297" t="s">
        <v>1710</v>
      </c>
      <c r="J673" s="297" t="s">
        <v>16447</v>
      </c>
      <c r="K673" s="298" t="s">
        <v>16448</v>
      </c>
      <c r="L673" s="298" t="s">
        <v>16449</v>
      </c>
      <c r="M673" s="298" t="s">
        <v>16343</v>
      </c>
      <c r="N673" s="298" t="s">
        <v>16344</v>
      </c>
      <c r="O673" s="298" t="s">
        <v>16344</v>
      </c>
      <c r="P673" s="299" t="s">
        <v>15857</v>
      </c>
      <c r="Q673" s="300" t="s">
        <v>16345</v>
      </c>
      <c r="R673" s="182" t="str">
        <f ca="1">IF(ISERROR($V673),"",OFFSET('Smelter Look-up'!$C$4,$V673-4,0)&amp;"")</f>
        <v>Metallurgical Products India Pvt., Ltd.</v>
      </c>
      <c r="S673" s="181" t="str">
        <f t="shared" ca="1" si="95"/>
        <v>IN</v>
      </c>
      <c r="T673" s="181" t="str">
        <f ca="1">IF(B673="","",IF(ISERROR(MATCH($J673,SorP!$B$1:$B$6226,0)),"",INDIRECT("'SorP'!$A$"&amp;MATCH($S673&amp;$J673,SorP!C:C,0))))</f>
        <v/>
      </c>
      <c r="U673" s="201"/>
      <c r="V673" s="226">
        <f>IF(C673="",NA(),IF(OR(C673="Smelter not listed",C673="Smelter not yet identified"),MATCH($B673&amp;$D673,'Smelter Look-up'!$J:$J,0),MATCH($B673&amp;$C673,'Smelter Look-up'!$J:$J,0)))</f>
        <v>361</v>
      </c>
      <c r="X673" s="227">
        <f t="shared" si="96"/>
        <v>0</v>
      </c>
      <c r="AB673" s="228" t="str">
        <f t="shared" si="97"/>
        <v>TantalumMetallurgical Products India Pvt., Ltd.</v>
      </c>
    </row>
    <row r="674" spans="1:28" s="227" customFormat="1" ht="81">
      <c r="A674" s="301" t="s">
        <v>747</v>
      </c>
      <c r="B674" s="293" t="s">
        <v>1121</v>
      </c>
      <c r="C674" s="294" t="s">
        <v>2136</v>
      </c>
      <c r="D674" s="295" t="s">
        <v>2136</v>
      </c>
      <c r="E674" s="293" t="s">
        <v>1096</v>
      </c>
      <c r="F674" s="293" t="s">
        <v>747</v>
      </c>
      <c r="G674" s="293" t="s">
        <v>13217</v>
      </c>
      <c r="H674" s="296" t="s">
        <v>16452</v>
      </c>
      <c r="I674" s="297" t="s">
        <v>1710</v>
      </c>
      <c r="J674" s="297" t="s">
        <v>16447</v>
      </c>
      <c r="K674" s="298" t="s">
        <v>16453</v>
      </c>
      <c r="L674" s="298" t="s">
        <v>16449</v>
      </c>
      <c r="M674" s="298" t="s">
        <v>487</v>
      </c>
      <c r="N674" s="298" t="s">
        <v>16369</v>
      </c>
      <c r="O674" s="298" t="s">
        <v>16369</v>
      </c>
      <c r="P674" s="299" t="s">
        <v>15857</v>
      </c>
      <c r="Q674" s="300" t="s">
        <v>15855</v>
      </c>
      <c r="R674" s="182" t="str">
        <f ca="1">IF(ISERROR($V674),"",OFFSET('Smelter Look-up'!$C$4,$V674-4,0)&amp;"")</f>
        <v>Metallurgical Products India Pvt., Ltd.</v>
      </c>
      <c r="S674" s="181" t="str">
        <f t="shared" ca="1" si="95"/>
        <v>IN</v>
      </c>
      <c r="T674" s="181" t="str">
        <f ca="1">IF(B674="","",IF(ISERROR(MATCH($J674,SorP!$B$1:$B$6226,0)),"",INDIRECT("'SorP'!$A$"&amp;MATCH($S674&amp;$J674,SorP!C:C,0))))</f>
        <v/>
      </c>
      <c r="U674" s="201"/>
      <c r="V674" s="226">
        <f>IF(C674="",NA(),IF(OR(C674="Smelter not listed",C674="Smelter not yet identified"),MATCH($B674&amp;$D674,'Smelter Look-up'!$J:$J,0),MATCH($B674&amp;$C674,'Smelter Look-up'!$J:$J,0)))</f>
        <v>361</v>
      </c>
      <c r="X674" s="227">
        <f t="shared" si="96"/>
        <v>0</v>
      </c>
      <c r="AB674" s="228" t="str">
        <f t="shared" si="97"/>
        <v>TantalumMetallurgical Products India Pvt., Ltd.</v>
      </c>
    </row>
    <row r="675" spans="1:28" s="227" customFormat="1" ht="67.5">
      <c r="A675" s="301" t="s">
        <v>748</v>
      </c>
      <c r="B675" s="293" t="s">
        <v>1121</v>
      </c>
      <c r="C675" s="294" t="s">
        <v>12408</v>
      </c>
      <c r="D675" s="295" t="s">
        <v>12408</v>
      </c>
      <c r="E675" s="293" t="s">
        <v>1086</v>
      </c>
      <c r="F675" s="293" t="s">
        <v>748</v>
      </c>
      <c r="G675" s="293" t="s">
        <v>13217</v>
      </c>
      <c r="H675" s="296" t="s">
        <v>15855</v>
      </c>
      <c r="I675" s="297" t="s">
        <v>1712</v>
      </c>
      <c r="J675" s="297" t="s">
        <v>1713</v>
      </c>
      <c r="K675" s="298" t="s">
        <v>15855</v>
      </c>
      <c r="L675" s="298" t="s">
        <v>15855</v>
      </c>
      <c r="M675" s="298" t="s">
        <v>15855</v>
      </c>
      <c r="N675" s="298" t="s">
        <v>15855</v>
      </c>
      <c r="O675" s="298" t="s">
        <v>15855</v>
      </c>
      <c r="P675" s="299" t="s">
        <v>15857</v>
      </c>
      <c r="Q675" s="300" t="s">
        <v>15855</v>
      </c>
      <c r="R675" s="182" t="str">
        <f ca="1">IF(ISERROR($V675),"",OFFSET('Smelter Look-up'!$C$4,$V675-4,0)&amp;"")</f>
        <v>Mineracao Taboca S.A.</v>
      </c>
      <c r="S675" s="181" t="str">
        <f t="shared" ca="1" si="95"/>
        <v>BR</v>
      </c>
      <c r="T675" s="181" t="str">
        <f ca="1">IF(B675="","",IF(ISERROR(MATCH($J675,SorP!$B$1:$B$6226,0)),"",INDIRECT("'SorP'!$A$"&amp;MATCH($S675&amp;$J675,SorP!C:C,0))))</f>
        <v>BR-AM</v>
      </c>
      <c r="U675" s="201"/>
      <c r="V675" s="226">
        <f>IF(C675="",NA(),IF(OR(C675="Smelter not listed",C675="Smelter not yet identified"),MATCH($B675&amp;$D675,'Smelter Look-up'!$J:$J,0),MATCH($B675&amp;$C675,'Smelter Look-up'!$J:$J,0)))</f>
        <v>362</v>
      </c>
      <c r="X675" s="227">
        <f t="shared" si="96"/>
        <v>0</v>
      </c>
      <c r="AB675" s="228" t="str">
        <f t="shared" si="97"/>
        <v>TantalumMineracao Taboca S.A.</v>
      </c>
    </row>
    <row r="676" spans="1:28" s="227" customFormat="1" ht="67.5">
      <c r="A676" s="301" t="s">
        <v>748</v>
      </c>
      <c r="B676" s="293" t="s">
        <v>1121</v>
      </c>
      <c r="C676" s="294" t="s">
        <v>12408</v>
      </c>
      <c r="D676" s="295" t="s">
        <v>12408</v>
      </c>
      <c r="E676" s="293" t="s">
        <v>1086</v>
      </c>
      <c r="F676" s="293" t="s">
        <v>748</v>
      </c>
      <c r="G676" s="293" t="s">
        <v>13217</v>
      </c>
      <c r="H676" s="296" t="s">
        <v>15855</v>
      </c>
      <c r="I676" s="297" t="s">
        <v>1712</v>
      </c>
      <c r="J676" s="297" t="s">
        <v>1713</v>
      </c>
      <c r="K676" s="298" t="s">
        <v>15855</v>
      </c>
      <c r="L676" s="298" t="s">
        <v>15855</v>
      </c>
      <c r="M676" s="298" t="s">
        <v>15855</v>
      </c>
      <c r="N676" s="298" t="s">
        <v>15855</v>
      </c>
      <c r="O676" s="298" t="s">
        <v>15858</v>
      </c>
      <c r="P676" s="299" t="s">
        <v>15857</v>
      </c>
      <c r="Q676" s="300" t="s">
        <v>15855</v>
      </c>
      <c r="R676" s="182" t="str">
        <f ca="1">IF(ISERROR($V676),"",OFFSET('Smelter Look-up'!$C$4,$V676-4,0)&amp;"")</f>
        <v>Mineracao Taboca S.A.</v>
      </c>
      <c r="S676" s="181" t="str">
        <f t="shared" ca="1" si="95"/>
        <v>BR</v>
      </c>
      <c r="T676" s="181" t="str">
        <f ca="1">IF(B676="","",IF(ISERROR(MATCH($J676,SorP!$B$1:$B$6226,0)),"",INDIRECT("'SorP'!$A$"&amp;MATCH($S676&amp;$J676,SorP!C:C,0))))</f>
        <v>BR-AM</v>
      </c>
      <c r="U676" s="201"/>
      <c r="V676" s="226">
        <f>IF(C676="",NA(),IF(OR(C676="Smelter not listed",C676="Smelter not yet identified"),MATCH($B676&amp;$D676,'Smelter Look-up'!$J:$J,0),MATCH($B676&amp;$C676,'Smelter Look-up'!$J:$J,0)))</f>
        <v>362</v>
      </c>
      <c r="X676" s="227">
        <f t="shared" si="96"/>
        <v>0</v>
      </c>
      <c r="AB676" s="228" t="str">
        <f t="shared" si="97"/>
        <v>TantalumMineracao Taboca S.A.</v>
      </c>
    </row>
    <row r="677" spans="1:28" s="227" customFormat="1" ht="67.5">
      <c r="A677" s="301" t="s">
        <v>748</v>
      </c>
      <c r="B677" s="293" t="s">
        <v>1121</v>
      </c>
      <c r="C677" s="294" t="s">
        <v>12408</v>
      </c>
      <c r="D677" s="295" t="s">
        <v>12408</v>
      </c>
      <c r="E677" s="293" t="s">
        <v>1086</v>
      </c>
      <c r="F677" s="293" t="s">
        <v>748</v>
      </c>
      <c r="G677" s="293" t="s">
        <v>13217</v>
      </c>
      <c r="H677" s="296" t="s">
        <v>15855</v>
      </c>
      <c r="I677" s="297" t="s">
        <v>1712</v>
      </c>
      <c r="J677" s="297" t="s">
        <v>1713</v>
      </c>
      <c r="K677" s="298" t="s">
        <v>16454</v>
      </c>
      <c r="L677" s="298" t="s">
        <v>16455</v>
      </c>
      <c r="M677" s="298" t="s">
        <v>15869</v>
      </c>
      <c r="N677" s="298" t="s">
        <v>15862</v>
      </c>
      <c r="O677" s="298" t="s">
        <v>16456</v>
      </c>
      <c r="P677" s="299" t="s">
        <v>15857</v>
      </c>
      <c r="Q677" s="300" t="s">
        <v>15855</v>
      </c>
      <c r="R677" s="182" t="str">
        <f ca="1">IF(ISERROR($V677),"",OFFSET('Smelter Look-up'!$C$4,$V677-4,0)&amp;"")</f>
        <v>Mineracao Taboca S.A.</v>
      </c>
      <c r="S677" s="181" t="str">
        <f t="shared" ca="1" si="95"/>
        <v>BR</v>
      </c>
      <c r="T677" s="181" t="str">
        <f ca="1">IF(B677="","",IF(ISERROR(MATCH($J677,SorP!$B$1:$B$6226,0)),"",INDIRECT("'SorP'!$A$"&amp;MATCH($S677&amp;$J677,SorP!C:C,0))))</f>
        <v>BR-AM</v>
      </c>
      <c r="U677" s="201"/>
      <c r="V677" s="226">
        <f>IF(C677="",NA(),IF(OR(C677="Smelter not listed",C677="Smelter not yet identified"),MATCH($B677&amp;$D677,'Smelter Look-up'!$J:$J,0),MATCH($B677&amp;$C677,'Smelter Look-up'!$J:$J,0)))</f>
        <v>362</v>
      </c>
      <c r="X677" s="227">
        <f t="shared" si="96"/>
        <v>0</v>
      </c>
      <c r="AB677" s="228" t="str">
        <f t="shared" si="97"/>
        <v>TantalumMineracao Taboca S.A.</v>
      </c>
    </row>
    <row r="678" spans="1:28" s="227" customFormat="1" ht="67.5">
      <c r="A678" s="301" t="s">
        <v>748</v>
      </c>
      <c r="B678" s="293" t="s">
        <v>1121</v>
      </c>
      <c r="C678" s="294" t="s">
        <v>12408</v>
      </c>
      <c r="D678" s="295" t="s">
        <v>12408</v>
      </c>
      <c r="E678" s="293" t="s">
        <v>1086</v>
      </c>
      <c r="F678" s="293" t="s">
        <v>748</v>
      </c>
      <c r="G678" s="293" t="s">
        <v>13217</v>
      </c>
      <c r="H678" s="302" t="s">
        <v>15880</v>
      </c>
      <c r="I678" s="297" t="s">
        <v>1712</v>
      </c>
      <c r="J678" s="297" t="s">
        <v>1713</v>
      </c>
      <c r="K678" s="298" t="s">
        <v>15855</v>
      </c>
      <c r="L678" s="298" t="s">
        <v>15855</v>
      </c>
      <c r="M678" s="298" t="s">
        <v>15855</v>
      </c>
      <c r="N678" s="298" t="s">
        <v>15855</v>
      </c>
      <c r="O678" s="298" t="s">
        <v>15855</v>
      </c>
      <c r="P678" s="299" t="s">
        <v>15857</v>
      </c>
      <c r="Q678" s="300" t="s">
        <v>15855</v>
      </c>
      <c r="R678" s="182" t="str">
        <f ca="1">IF(ISERROR($V678),"",OFFSET('Smelter Look-up'!$C$4,$V678-4,0)&amp;"")</f>
        <v>Mineracao Taboca S.A.</v>
      </c>
      <c r="S678" s="181" t="str">
        <f t="shared" ca="1" si="95"/>
        <v>BR</v>
      </c>
      <c r="T678" s="181" t="str">
        <f ca="1">IF(B678="","",IF(ISERROR(MATCH($J678,SorP!$B$1:$B$6226,0)),"",INDIRECT("'SorP'!$A$"&amp;MATCH($S678&amp;$J678,SorP!C:C,0))))</f>
        <v>BR-AM</v>
      </c>
      <c r="U678" s="201"/>
      <c r="V678" s="226">
        <f>IF(C678="",NA(),IF(OR(C678="Smelter not listed",C678="Smelter not yet identified"),MATCH($B678&amp;$D678,'Smelter Look-up'!$J:$J,0),MATCH($B678&amp;$C678,'Smelter Look-up'!$J:$J,0)))</f>
        <v>362</v>
      </c>
      <c r="X678" s="227">
        <f t="shared" si="96"/>
        <v>0</v>
      </c>
      <c r="AB678" s="228" t="str">
        <f t="shared" si="97"/>
        <v>TantalumMineracao Taboca S.A.</v>
      </c>
    </row>
    <row r="679" spans="1:28" s="227" customFormat="1" ht="67.5">
      <c r="A679" s="301" t="s">
        <v>748</v>
      </c>
      <c r="B679" s="293" t="s">
        <v>1121</v>
      </c>
      <c r="C679" s="294" t="s">
        <v>12408</v>
      </c>
      <c r="D679" s="295" t="s">
        <v>12408</v>
      </c>
      <c r="E679" s="293" t="s">
        <v>1086</v>
      </c>
      <c r="F679" s="293" t="s">
        <v>748</v>
      </c>
      <c r="G679" s="293" t="s">
        <v>13217</v>
      </c>
      <c r="H679" s="296" t="s">
        <v>16457</v>
      </c>
      <c r="I679" s="297" t="s">
        <v>1712</v>
      </c>
      <c r="J679" s="297" t="s">
        <v>1713</v>
      </c>
      <c r="K679" s="298" t="s">
        <v>16458</v>
      </c>
      <c r="L679" s="298" t="s">
        <v>16459</v>
      </c>
      <c r="M679" s="298" t="s">
        <v>16343</v>
      </c>
      <c r="N679" s="298" t="s">
        <v>16344</v>
      </c>
      <c r="O679" s="298" t="s">
        <v>16344</v>
      </c>
      <c r="P679" s="299" t="s">
        <v>15857</v>
      </c>
      <c r="Q679" s="300" t="s">
        <v>16345</v>
      </c>
      <c r="R679" s="182" t="str">
        <f ca="1">IF(ISERROR($V679),"",OFFSET('Smelter Look-up'!$C$4,$V679-4,0)&amp;"")</f>
        <v>Mineracao Taboca S.A.</v>
      </c>
      <c r="S679" s="181" t="str">
        <f t="shared" ca="1" si="95"/>
        <v>BR</v>
      </c>
      <c r="T679" s="181" t="str">
        <f ca="1">IF(B679="","",IF(ISERROR(MATCH($J679,SorP!$B$1:$B$6226,0)),"",INDIRECT("'SorP'!$A$"&amp;MATCH($S679&amp;$J679,SorP!C:C,0))))</f>
        <v>BR-AM</v>
      </c>
      <c r="U679" s="201"/>
      <c r="V679" s="226">
        <f>IF(C679="",NA(),IF(OR(C679="Smelter not listed",C679="Smelter not yet identified"),MATCH($B679&amp;$D679,'Smelter Look-up'!$J:$J,0),MATCH($B679&amp;$C679,'Smelter Look-up'!$J:$J,0)))</f>
        <v>362</v>
      </c>
      <c r="X679" s="227">
        <f t="shared" si="96"/>
        <v>0</v>
      </c>
      <c r="AB679" s="228" t="str">
        <f t="shared" si="97"/>
        <v>TantalumMineracao Taboca S.A.</v>
      </c>
    </row>
    <row r="680" spans="1:28" s="227" customFormat="1" ht="54">
      <c r="A680" s="301" t="s">
        <v>749</v>
      </c>
      <c r="B680" s="293" t="s">
        <v>1121</v>
      </c>
      <c r="C680" s="294" t="s">
        <v>1108</v>
      </c>
      <c r="D680" s="295" t="s">
        <v>1218</v>
      </c>
      <c r="E680" s="293" t="s">
        <v>1098</v>
      </c>
      <c r="F680" s="293" t="s">
        <v>749</v>
      </c>
      <c r="G680" s="293" t="s">
        <v>13217</v>
      </c>
      <c r="H680" s="302" t="s">
        <v>15880</v>
      </c>
      <c r="I680" s="297" t="s">
        <v>1714</v>
      </c>
      <c r="J680" s="297" t="s">
        <v>1715</v>
      </c>
      <c r="K680" s="298" t="s">
        <v>15855</v>
      </c>
      <c r="L680" s="298" t="s">
        <v>15855</v>
      </c>
      <c r="M680" s="298" t="s">
        <v>15855</v>
      </c>
      <c r="N680" s="298" t="s">
        <v>15855</v>
      </c>
      <c r="O680" s="298" t="s">
        <v>15855</v>
      </c>
      <c r="P680" s="299" t="s">
        <v>15857</v>
      </c>
      <c r="Q680" s="300" t="s">
        <v>15855</v>
      </c>
      <c r="R680" s="182" t="str">
        <f ca="1">IF(ISERROR($V680),"",OFFSET('Smelter Look-up'!$C$4,$V680-4,0)&amp;"")</f>
        <v>Mitsui Mining and Smelting Co., Ltd.</v>
      </c>
      <c r="S680" s="181" t="str">
        <f t="shared" ca="1" si="95"/>
        <v>JP</v>
      </c>
      <c r="T680" s="181" t="str">
        <f ca="1">IF(B680="","",IF(ISERROR(MATCH($J680,SorP!$B$1:$B$6226,0)),"",INDIRECT("'SorP'!$A$"&amp;MATCH($S680&amp;$J680,SorP!C:C,0))))</f>
        <v>JP-40</v>
      </c>
      <c r="U680" s="201"/>
      <c r="V680" s="226">
        <f>IF(C680="",NA(),IF(OR(C680="Smelter not listed",C680="Smelter not yet identified"),MATCH($B680&amp;$D680,'Smelter Look-up'!$J:$J,0),MATCH($B680&amp;$C680,'Smelter Look-up'!$J:$J,0)))</f>
        <v>365</v>
      </c>
      <c r="X680" s="227">
        <f t="shared" si="96"/>
        <v>0</v>
      </c>
      <c r="AB680" s="228" t="str">
        <f t="shared" si="97"/>
        <v>TantalumMitsui Mining &amp; Smelting</v>
      </c>
    </row>
    <row r="681" spans="1:28" s="227" customFormat="1" ht="81">
      <c r="A681" s="301" t="s">
        <v>749</v>
      </c>
      <c r="B681" s="293" t="s">
        <v>1121</v>
      </c>
      <c r="C681" s="294" t="s">
        <v>1218</v>
      </c>
      <c r="D681" s="295" t="s">
        <v>1218</v>
      </c>
      <c r="E681" s="293" t="s">
        <v>1098</v>
      </c>
      <c r="F681" s="293" t="s">
        <v>749</v>
      </c>
      <c r="G681" s="293" t="s">
        <v>13217</v>
      </c>
      <c r="H681" s="296" t="s">
        <v>15855</v>
      </c>
      <c r="I681" s="297" t="s">
        <v>1714</v>
      </c>
      <c r="J681" s="297" t="s">
        <v>1715</v>
      </c>
      <c r="K681" s="298" t="s">
        <v>15855</v>
      </c>
      <c r="L681" s="298" t="s">
        <v>15855</v>
      </c>
      <c r="M681" s="298" t="s">
        <v>15855</v>
      </c>
      <c r="N681" s="298" t="s">
        <v>15855</v>
      </c>
      <c r="O681" s="298" t="s">
        <v>15855</v>
      </c>
      <c r="P681" s="299" t="s">
        <v>15857</v>
      </c>
      <c r="Q681" s="300" t="s">
        <v>15855</v>
      </c>
      <c r="R681" s="182" t="str">
        <f ca="1">IF(ISERROR($V681),"",OFFSET('Smelter Look-up'!$C$4,$V681-4,0)&amp;"")</f>
        <v>Mitsui Mining and Smelting Co., Ltd.</v>
      </c>
      <c r="S681" s="181" t="str">
        <f t="shared" ca="1" si="95"/>
        <v>JP</v>
      </c>
      <c r="T681" s="181" t="str">
        <f ca="1">IF(B681="","",IF(ISERROR(MATCH($J681,SorP!$B$1:$B$6226,0)),"",INDIRECT("'SorP'!$A$"&amp;MATCH($S681&amp;$J681,SorP!C:C,0))))</f>
        <v>JP-40</v>
      </c>
      <c r="U681" s="201"/>
      <c r="V681" s="226">
        <f>IF(C681="",NA(),IF(OR(C681="Smelter not listed",C681="Smelter not yet identified"),MATCH($B681&amp;$D681,'Smelter Look-up'!$J:$J,0),MATCH($B681&amp;$C681,'Smelter Look-up'!$J:$J,0)))</f>
        <v>366</v>
      </c>
      <c r="X681" s="227">
        <f t="shared" si="96"/>
        <v>0</v>
      </c>
      <c r="AB681" s="228" t="str">
        <f t="shared" si="97"/>
        <v>TantalumMitsui Mining and Smelting Co., Ltd.</v>
      </c>
    </row>
    <row r="682" spans="1:28" s="227" customFormat="1" ht="81">
      <c r="A682" s="301" t="s">
        <v>749</v>
      </c>
      <c r="B682" s="293" t="s">
        <v>1121</v>
      </c>
      <c r="C682" s="294" t="s">
        <v>1218</v>
      </c>
      <c r="D682" s="295" t="s">
        <v>1218</v>
      </c>
      <c r="E682" s="293" t="s">
        <v>1098</v>
      </c>
      <c r="F682" s="293" t="s">
        <v>749</v>
      </c>
      <c r="G682" s="293" t="s">
        <v>13217</v>
      </c>
      <c r="H682" s="296" t="s">
        <v>15855</v>
      </c>
      <c r="I682" s="297" t="s">
        <v>1714</v>
      </c>
      <c r="J682" s="297" t="s">
        <v>1715</v>
      </c>
      <c r="K682" s="298" t="s">
        <v>15855</v>
      </c>
      <c r="L682" s="298" t="s">
        <v>15855</v>
      </c>
      <c r="M682" s="298" t="s">
        <v>15855</v>
      </c>
      <c r="N682" s="298" t="s">
        <v>15855</v>
      </c>
      <c r="O682" s="298" t="s">
        <v>16364</v>
      </c>
      <c r="P682" s="299" t="s">
        <v>15857</v>
      </c>
      <c r="Q682" s="300" t="s">
        <v>16355</v>
      </c>
      <c r="R682" s="182" t="str">
        <f ca="1">IF(ISERROR($V682),"",OFFSET('Smelter Look-up'!$C$4,$V682-4,0)&amp;"")</f>
        <v>Mitsui Mining and Smelting Co., Ltd.</v>
      </c>
      <c r="S682" s="181" t="str">
        <f t="shared" ca="1" si="95"/>
        <v>JP</v>
      </c>
      <c r="T682" s="181" t="str">
        <f ca="1">IF(B682="","",IF(ISERROR(MATCH($J682,SorP!$B$1:$B$6226,0)),"",INDIRECT("'SorP'!$A$"&amp;MATCH($S682&amp;$J682,SorP!C:C,0))))</f>
        <v>JP-40</v>
      </c>
      <c r="U682" s="201"/>
      <c r="V682" s="226">
        <f>IF(C682="",NA(),IF(OR(C682="Smelter not listed",C682="Smelter not yet identified"),MATCH($B682&amp;$D682,'Smelter Look-up'!$J:$J,0),MATCH($B682&amp;$C682,'Smelter Look-up'!$J:$J,0)))</f>
        <v>366</v>
      </c>
      <c r="X682" s="227">
        <f t="shared" si="96"/>
        <v>0</v>
      </c>
      <c r="AB682" s="228" t="str">
        <f t="shared" si="97"/>
        <v>TantalumMitsui Mining and Smelting Co., Ltd.</v>
      </c>
    </row>
    <row r="683" spans="1:28" s="227" customFormat="1" ht="81">
      <c r="A683" s="301" t="s">
        <v>749</v>
      </c>
      <c r="B683" s="293" t="s">
        <v>1121</v>
      </c>
      <c r="C683" s="294" t="s">
        <v>1218</v>
      </c>
      <c r="D683" s="295" t="s">
        <v>1218</v>
      </c>
      <c r="E683" s="293" t="s">
        <v>1098</v>
      </c>
      <c r="F683" s="293" t="s">
        <v>749</v>
      </c>
      <c r="G683" s="293" t="s">
        <v>13217</v>
      </c>
      <c r="H683" s="296" t="s">
        <v>15855</v>
      </c>
      <c r="I683" s="297" t="s">
        <v>1714</v>
      </c>
      <c r="J683" s="297" t="s">
        <v>1715</v>
      </c>
      <c r="K683" s="298" t="s">
        <v>15855</v>
      </c>
      <c r="L683" s="298" t="s">
        <v>15855</v>
      </c>
      <c r="M683" s="298" t="s">
        <v>15855</v>
      </c>
      <c r="N683" s="298" t="s">
        <v>15855</v>
      </c>
      <c r="O683" s="298" t="s">
        <v>15925</v>
      </c>
      <c r="P683" s="299" t="s">
        <v>15857</v>
      </c>
      <c r="Q683" s="300" t="s">
        <v>15855</v>
      </c>
      <c r="R683" s="182" t="str">
        <f ca="1">IF(ISERROR($V683),"",OFFSET('Smelter Look-up'!$C$4,$V683-4,0)&amp;"")</f>
        <v>Mitsui Mining and Smelting Co., Ltd.</v>
      </c>
      <c r="S683" s="181" t="str">
        <f t="shared" ca="1" si="95"/>
        <v>JP</v>
      </c>
      <c r="T683" s="181" t="str">
        <f ca="1">IF(B683="","",IF(ISERROR(MATCH($J683,SorP!$B$1:$B$6226,0)),"",INDIRECT("'SorP'!$A$"&amp;MATCH($S683&amp;$J683,SorP!C:C,0))))</f>
        <v>JP-40</v>
      </c>
      <c r="U683" s="201"/>
      <c r="V683" s="226">
        <f>IF(C683="",NA(),IF(OR(C683="Smelter not listed",C683="Smelter not yet identified"),MATCH($B683&amp;$D683,'Smelter Look-up'!$J:$J,0),MATCH($B683&amp;$C683,'Smelter Look-up'!$J:$J,0)))</f>
        <v>366</v>
      </c>
      <c r="X683" s="227">
        <f t="shared" si="96"/>
        <v>0</v>
      </c>
      <c r="AB683" s="228" t="str">
        <f t="shared" si="97"/>
        <v>TantalumMitsui Mining and Smelting Co., Ltd.</v>
      </c>
    </row>
    <row r="684" spans="1:28" s="227" customFormat="1" ht="81">
      <c r="A684" s="301" t="s">
        <v>749</v>
      </c>
      <c r="B684" s="293" t="s">
        <v>1121</v>
      </c>
      <c r="C684" s="294" t="s">
        <v>1218</v>
      </c>
      <c r="D684" s="295" t="s">
        <v>1218</v>
      </c>
      <c r="E684" s="293" t="s">
        <v>1098</v>
      </c>
      <c r="F684" s="293" t="s">
        <v>749</v>
      </c>
      <c r="G684" s="293" t="s">
        <v>13217</v>
      </c>
      <c r="H684" s="296" t="s">
        <v>15855</v>
      </c>
      <c r="I684" s="297" t="s">
        <v>1714</v>
      </c>
      <c r="J684" s="297" t="s">
        <v>1715</v>
      </c>
      <c r="K684" s="298" t="s">
        <v>16166</v>
      </c>
      <c r="L684" s="298" t="s">
        <v>16167</v>
      </c>
      <c r="M684" s="298" t="s">
        <v>15869</v>
      </c>
      <c r="N684" s="298" t="s">
        <v>15862</v>
      </c>
      <c r="O684" s="298" t="s">
        <v>16460</v>
      </c>
      <c r="P684" s="299" t="s">
        <v>15857</v>
      </c>
      <c r="Q684" s="300" t="s">
        <v>15855</v>
      </c>
      <c r="R684" s="182" t="str">
        <f ca="1">IF(ISERROR($V684),"",OFFSET('Smelter Look-up'!$C$4,$V684-4,0)&amp;"")</f>
        <v>Mitsui Mining and Smelting Co., Ltd.</v>
      </c>
      <c r="S684" s="181" t="str">
        <f t="shared" ca="1" si="95"/>
        <v>JP</v>
      </c>
      <c r="T684" s="181" t="str">
        <f ca="1">IF(B684="","",IF(ISERROR(MATCH($J684,SorP!$B$1:$B$6226,0)),"",INDIRECT("'SorP'!$A$"&amp;MATCH($S684&amp;$J684,SorP!C:C,0))))</f>
        <v>JP-40</v>
      </c>
      <c r="U684" s="201"/>
      <c r="V684" s="226">
        <f>IF(C684="",NA(),IF(OR(C684="Smelter not listed",C684="Smelter not yet identified"),MATCH($B684&amp;$D684,'Smelter Look-up'!$J:$J,0),MATCH($B684&amp;$C684,'Smelter Look-up'!$J:$J,0)))</f>
        <v>366</v>
      </c>
      <c r="X684" s="227">
        <f t="shared" si="96"/>
        <v>0</v>
      </c>
      <c r="AB684" s="228" t="str">
        <f t="shared" si="97"/>
        <v>TantalumMitsui Mining and Smelting Co., Ltd.</v>
      </c>
    </row>
    <row r="685" spans="1:28" s="227" customFormat="1" ht="81">
      <c r="A685" s="301" t="s">
        <v>749</v>
      </c>
      <c r="B685" s="293" t="s">
        <v>1121</v>
      </c>
      <c r="C685" s="294" t="s">
        <v>1218</v>
      </c>
      <c r="D685" s="295" t="s">
        <v>1218</v>
      </c>
      <c r="E685" s="293" t="s">
        <v>1098</v>
      </c>
      <c r="F685" s="293" t="s">
        <v>749</v>
      </c>
      <c r="G685" s="293" t="s">
        <v>13217</v>
      </c>
      <c r="H685" s="302" t="s">
        <v>15880</v>
      </c>
      <c r="I685" s="297" t="s">
        <v>1714</v>
      </c>
      <c r="J685" s="297" t="s">
        <v>1715</v>
      </c>
      <c r="K685" s="298" t="s">
        <v>15855</v>
      </c>
      <c r="L685" s="298" t="s">
        <v>15855</v>
      </c>
      <c r="M685" s="298" t="s">
        <v>15855</v>
      </c>
      <c r="N685" s="298" t="s">
        <v>15855</v>
      </c>
      <c r="O685" s="298" t="s">
        <v>15855</v>
      </c>
      <c r="P685" s="299" t="s">
        <v>15857</v>
      </c>
      <c r="Q685" s="300" t="s">
        <v>15855</v>
      </c>
      <c r="R685" s="182" t="str">
        <f ca="1">IF(ISERROR($V685),"",OFFSET('Smelter Look-up'!$C$4,$V685-4,0)&amp;"")</f>
        <v>Mitsui Mining and Smelting Co., Ltd.</v>
      </c>
      <c r="S685" s="181" t="str">
        <f t="shared" ca="1" si="95"/>
        <v>JP</v>
      </c>
      <c r="T685" s="181" t="str">
        <f ca="1">IF(B685="","",IF(ISERROR(MATCH($J685,SorP!$B$1:$B$6226,0)),"",INDIRECT("'SorP'!$A$"&amp;MATCH($S685&amp;$J685,SorP!C:C,0))))</f>
        <v>JP-40</v>
      </c>
      <c r="U685" s="201"/>
      <c r="V685" s="226">
        <f>IF(C685="",NA(),IF(OR(C685="Smelter not listed",C685="Smelter not yet identified"),MATCH($B685&amp;$D685,'Smelter Look-up'!$J:$J,0),MATCH($B685&amp;$C685,'Smelter Look-up'!$J:$J,0)))</f>
        <v>366</v>
      </c>
      <c r="X685" s="227">
        <f t="shared" si="96"/>
        <v>0</v>
      </c>
      <c r="AB685" s="228" t="str">
        <f t="shared" si="97"/>
        <v>TantalumMitsui Mining and Smelting Co., Ltd.</v>
      </c>
    </row>
    <row r="686" spans="1:28" s="227" customFormat="1" ht="81">
      <c r="A686" s="301" t="s">
        <v>749</v>
      </c>
      <c r="B686" s="293" t="s">
        <v>1121</v>
      </c>
      <c r="C686" s="294" t="s">
        <v>1218</v>
      </c>
      <c r="D686" s="295" t="s">
        <v>1218</v>
      </c>
      <c r="E686" s="293" t="s">
        <v>1098</v>
      </c>
      <c r="F686" s="293" t="s">
        <v>749</v>
      </c>
      <c r="G686" s="293" t="s">
        <v>13217</v>
      </c>
      <c r="H686" s="296" t="s">
        <v>16461</v>
      </c>
      <c r="I686" s="297" t="s">
        <v>1714</v>
      </c>
      <c r="J686" s="297" t="s">
        <v>1715</v>
      </c>
      <c r="K686" s="298" t="s">
        <v>16462</v>
      </c>
      <c r="L686" s="298" t="s">
        <v>16463</v>
      </c>
      <c r="M686" s="298" t="s">
        <v>16343</v>
      </c>
      <c r="N686" s="298" t="s">
        <v>16344</v>
      </c>
      <c r="O686" s="298" t="s">
        <v>16344</v>
      </c>
      <c r="P686" s="299" t="s">
        <v>15857</v>
      </c>
      <c r="Q686" s="300" t="s">
        <v>16345</v>
      </c>
      <c r="R686" s="182" t="str">
        <f ca="1">IF(ISERROR($V686),"",OFFSET('Smelter Look-up'!$C$4,$V686-4,0)&amp;"")</f>
        <v>Mitsui Mining and Smelting Co., Ltd.</v>
      </c>
      <c r="S686" s="181" t="str">
        <f t="shared" ca="1" si="95"/>
        <v>JP</v>
      </c>
      <c r="T686" s="181" t="str">
        <f ca="1">IF(B686="","",IF(ISERROR(MATCH($J686,SorP!$B$1:$B$6226,0)),"",INDIRECT("'SorP'!$A$"&amp;MATCH($S686&amp;$J686,SorP!C:C,0))))</f>
        <v>JP-40</v>
      </c>
      <c r="U686" s="201"/>
      <c r="V686" s="226">
        <f>IF(C686="",NA(),IF(OR(C686="Smelter not listed",C686="Smelter not yet identified"),MATCH($B686&amp;$D686,'Smelter Look-up'!$J:$J,0),MATCH($B686&amp;$C686,'Smelter Look-up'!$J:$J,0)))</f>
        <v>366</v>
      </c>
      <c r="X686" s="227">
        <f t="shared" si="96"/>
        <v>0</v>
      </c>
      <c r="AB686" s="228" t="str">
        <f t="shared" si="97"/>
        <v>TantalumMitsui Mining and Smelting Co., Ltd.</v>
      </c>
    </row>
    <row r="687" spans="1:28" s="227" customFormat="1" ht="94.5">
      <c r="A687" s="301" t="s">
        <v>751</v>
      </c>
      <c r="B687" s="293" t="s">
        <v>1121</v>
      </c>
      <c r="C687" s="294" t="s">
        <v>1020</v>
      </c>
      <c r="D687" s="295" t="s">
        <v>1020</v>
      </c>
      <c r="E687" s="293" t="s">
        <v>1090</v>
      </c>
      <c r="F687" s="293" t="s">
        <v>751</v>
      </c>
      <c r="G687" s="293" t="s">
        <v>13217</v>
      </c>
      <c r="H687" s="296" t="s">
        <v>15855</v>
      </c>
      <c r="I687" s="297" t="s">
        <v>1718</v>
      </c>
      <c r="J687" s="297" t="s">
        <v>13582</v>
      </c>
      <c r="K687" s="298" t="s">
        <v>15855</v>
      </c>
      <c r="L687" s="298" t="s">
        <v>15855</v>
      </c>
      <c r="M687" s="298" t="s">
        <v>15855</v>
      </c>
      <c r="N687" s="298" t="s">
        <v>15855</v>
      </c>
      <c r="O687" s="298" t="s">
        <v>15855</v>
      </c>
      <c r="P687" s="299" t="s">
        <v>15857</v>
      </c>
      <c r="Q687" s="300" t="s">
        <v>15855</v>
      </c>
      <c r="R687" s="182" t="str">
        <f ca="1">IF(ISERROR($V687),"",OFFSET('Smelter Look-up'!$C$4,$V687-4,0)&amp;"")</f>
        <v>Ningxia Orient Tantalum Industry Co., Ltd.</v>
      </c>
      <c r="S687" s="181" t="str">
        <f t="shared" ca="1" si="95"/>
        <v>CN</v>
      </c>
      <c r="T687" s="181" t="str">
        <f ca="1">IF(B687="","",IF(ISERROR(MATCH($J687,SorP!$B$1:$B$6226,0)),"",INDIRECT("'SorP'!$A$"&amp;MATCH($S687&amp;$J687,SorP!C:C,0))))</f>
        <v>CN-NX</v>
      </c>
      <c r="U687" s="201"/>
      <c r="V687" s="226">
        <f>IF(C687="",NA(),IF(OR(C687="Smelter not listed",C687="Smelter not yet identified"),MATCH($B687&amp;$D687,'Smelter Look-up'!$J:$J,0),MATCH($B687&amp;$C687,'Smelter Look-up'!$J:$J,0)))</f>
        <v>369</v>
      </c>
      <c r="X687" s="227">
        <f t="shared" si="96"/>
        <v>0</v>
      </c>
      <c r="AB687" s="228" t="str">
        <f t="shared" si="97"/>
        <v>TantalumNingxia Orient Tantalum Industry Co., Ltd.</v>
      </c>
    </row>
    <row r="688" spans="1:28" s="227" customFormat="1" ht="94.5">
      <c r="A688" s="301" t="s">
        <v>751</v>
      </c>
      <c r="B688" s="293" t="s">
        <v>1121</v>
      </c>
      <c r="C688" s="294" t="s">
        <v>1020</v>
      </c>
      <c r="D688" s="295" t="s">
        <v>1020</v>
      </c>
      <c r="E688" s="293" t="s">
        <v>1090</v>
      </c>
      <c r="F688" s="293" t="s">
        <v>751</v>
      </c>
      <c r="G688" s="293" t="s">
        <v>13217</v>
      </c>
      <c r="H688" s="296" t="s">
        <v>15855</v>
      </c>
      <c r="I688" s="297" t="s">
        <v>1718</v>
      </c>
      <c r="J688" s="297" t="s">
        <v>13582</v>
      </c>
      <c r="K688" s="298" t="s">
        <v>15855</v>
      </c>
      <c r="L688" s="298" t="s">
        <v>15855</v>
      </c>
      <c r="M688" s="298" t="s">
        <v>15855</v>
      </c>
      <c r="N688" s="298" t="s">
        <v>15855</v>
      </c>
      <c r="O688" s="298" t="s">
        <v>16464</v>
      </c>
      <c r="P688" s="299" t="s">
        <v>15857</v>
      </c>
      <c r="Q688" s="300" t="s">
        <v>15855</v>
      </c>
      <c r="R688" s="182" t="str">
        <f ca="1">IF(ISERROR($V688),"",OFFSET('Smelter Look-up'!$C$4,$V688-4,0)&amp;"")</f>
        <v>Ningxia Orient Tantalum Industry Co., Ltd.</v>
      </c>
      <c r="S688" s="181" t="str">
        <f t="shared" ca="1" si="95"/>
        <v>CN</v>
      </c>
      <c r="T688" s="181" t="str">
        <f ca="1">IF(B688="","",IF(ISERROR(MATCH($J688,SorP!$B$1:$B$6226,0)),"",INDIRECT("'SorP'!$A$"&amp;MATCH($S688&amp;$J688,SorP!C:C,0))))</f>
        <v>CN-NX</v>
      </c>
      <c r="U688" s="201"/>
      <c r="V688" s="226">
        <f>IF(C688="",NA(),IF(OR(C688="Smelter not listed",C688="Smelter not yet identified"),MATCH($B688&amp;$D688,'Smelter Look-up'!$J:$J,0),MATCH($B688&amp;$C688,'Smelter Look-up'!$J:$J,0)))</f>
        <v>369</v>
      </c>
      <c r="X688" s="227">
        <f t="shared" si="96"/>
        <v>0</v>
      </c>
      <c r="AB688" s="228" t="str">
        <f t="shared" si="97"/>
        <v>TantalumNingxia Orient Tantalum Industry Co., Ltd.</v>
      </c>
    </row>
    <row r="689" spans="1:28" s="227" customFormat="1" ht="94.5">
      <c r="A689" s="301" t="s">
        <v>751</v>
      </c>
      <c r="B689" s="293" t="s">
        <v>1121</v>
      </c>
      <c r="C689" s="294" t="s">
        <v>1020</v>
      </c>
      <c r="D689" s="295" t="s">
        <v>1020</v>
      </c>
      <c r="E689" s="293" t="s">
        <v>1090</v>
      </c>
      <c r="F689" s="293" t="s">
        <v>751</v>
      </c>
      <c r="G689" s="293" t="s">
        <v>13217</v>
      </c>
      <c r="H689" s="296" t="s">
        <v>15855</v>
      </c>
      <c r="I689" s="297" t="s">
        <v>1718</v>
      </c>
      <c r="J689" s="297" t="s">
        <v>13582</v>
      </c>
      <c r="K689" s="298" t="s">
        <v>15855</v>
      </c>
      <c r="L689" s="298" t="s">
        <v>15855</v>
      </c>
      <c r="M689" s="298" t="s">
        <v>15855</v>
      </c>
      <c r="N689" s="298" t="s">
        <v>15855</v>
      </c>
      <c r="O689" s="298" t="s">
        <v>16465</v>
      </c>
      <c r="P689" s="299" t="s">
        <v>15857</v>
      </c>
      <c r="Q689" s="300" t="s">
        <v>16355</v>
      </c>
      <c r="R689" s="182" t="str">
        <f ca="1">IF(ISERROR($V689),"",OFFSET('Smelter Look-up'!$C$4,$V689-4,0)&amp;"")</f>
        <v>Ningxia Orient Tantalum Industry Co., Ltd.</v>
      </c>
      <c r="S689" s="181" t="str">
        <f t="shared" ca="1" si="95"/>
        <v>CN</v>
      </c>
      <c r="T689" s="181" t="str">
        <f ca="1">IF(B689="","",IF(ISERROR(MATCH($J689,SorP!$B$1:$B$6226,0)),"",INDIRECT("'SorP'!$A$"&amp;MATCH($S689&amp;$J689,SorP!C:C,0))))</f>
        <v>CN-NX</v>
      </c>
      <c r="U689" s="201"/>
      <c r="V689" s="226">
        <f>IF(C689="",NA(),IF(OR(C689="Smelter not listed",C689="Smelter not yet identified"),MATCH($B689&amp;$D689,'Smelter Look-up'!$J:$J,0),MATCH($B689&amp;$C689,'Smelter Look-up'!$J:$J,0)))</f>
        <v>369</v>
      </c>
      <c r="X689" s="227">
        <f t="shared" si="96"/>
        <v>0</v>
      </c>
      <c r="AB689" s="228" t="str">
        <f t="shared" si="97"/>
        <v>TantalumNingxia Orient Tantalum Industry Co., Ltd.</v>
      </c>
    </row>
    <row r="690" spans="1:28" s="227" customFormat="1" ht="94.5">
      <c r="A690" s="301" t="s">
        <v>751</v>
      </c>
      <c r="B690" s="293" t="s">
        <v>1121</v>
      </c>
      <c r="C690" s="294" t="s">
        <v>1020</v>
      </c>
      <c r="D690" s="295" t="s">
        <v>1020</v>
      </c>
      <c r="E690" s="293" t="s">
        <v>1090</v>
      </c>
      <c r="F690" s="293" t="s">
        <v>751</v>
      </c>
      <c r="G690" s="293" t="s">
        <v>13217</v>
      </c>
      <c r="H690" s="296" t="s">
        <v>15855</v>
      </c>
      <c r="I690" s="297" t="s">
        <v>1718</v>
      </c>
      <c r="J690" s="297" t="s">
        <v>13582</v>
      </c>
      <c r="K690" s="298" t="s">
        <v>16466</v>
      </c>
      <c r="L690" s="298" t="s">
        <v>16467</v>
      </c>
      <c r="M690" s="298" t="s">
        <v>15869</v>
      </c>
      <c r="N690" s="298" t="s">
        <v>16468</v>
      </c>
      <c r="O690" s="298" t="s">
        <v>16469</v>
      </c>
      <c r="P690" s="299" t="s">
        <v>15857</v>
      </c>
      <c r="Q690" s="300" t="s">
        <v>15855</v>
      </c>
      <c r="R690" s="182" t="str">
        <f ca="1">IF(ISERROR($V690),"",OFFSET('Smelter Look-up'!$C$4,$V690-4,0)&amp;"")</f>
        <v>Ningxia Orient Tantalum Industry Co., Ltd.</v>
      </c>
      <c r="S690" s="181" t="str">
        <f t="shared" ca="1" si="95"/>
        <v>CN</v>
      </c>
      <c r="T690" s="181" t="str">
        <f ca="1">IF(B690="","",IF(ISERROR(MATCH($J690,SorP!$B$1:$B$6226,0)),"",INDIRECT("'SorP'!$A$"&amp;MATCH($S690&amp;$J690,SorP!C:C,0))))</f>
        <v>CN-NX</v>
      </c>
      <c r="U690" s="201"/>
      <c r="V690" s="226">
        <f>IF(C690="",NA(),IF(OR(C690="Smelter not listed",C690="Smelter not yet identified"),MATCH($B690&amp;$D690,'Smelter Look-up'!$J:$J,0),MATCH($B690&amp;$C690,'Smelter Look-up'!$J:$J,0)))</f>
        <v>369</v>
      </c>
      <c r="X690" s="227">
        <f t="shared" si="96"/>
        <v>0</v>
      </c>
      <c r="AB690" s="228" t="str">
        <f t="shared" si="97"/>
        <v>TantalumNingxia Orient Tantalum Industry Co., Ltd.</v>
      </c>
    </row>
    <row r="691" spans="1:28" s="227" customFormat="1" ht="94.5">
      <c r="A691" s="301" t="s">
        <v>751</v>
      </c>
      <c r="B691" s="293" t="s">
        <v>1121</v>
      </c>
      <c r="C691" s="294" t="s">
        <v>1020</v>
      </c>
      <c r="D691" s="295" t="s">
        <v>1020</v>
      </c>
      <c r="E691" s="293" t="s">
        <v>1090</v>
      </c>
      <c r="F691" s="293" t="s">
        <v>751</v>
      </c>
      <c r="G691" s="293" t="s">
        <v>13217</v>
      </c>
      <c r="H691" s="302" t="s">
        <v>15880</v>
      </c>
      <c r="I691" s="297" t="s">
        <v>1718</v>
      </c>
      <c r="J691" s="297" t="s">
        <v>13582</v>
      </c>
      <c r="K691" s="298" t="s">
        <v>15855</v>
      </c>
      <c r="L691" s="298" t="s">
        <v>15855</v>
      </c>
      <c r="M691" s="298" t="s">
        <v>15855</v>
      </c>
      <c r="N691" s="298" t="s">
        <v>15855</v>
      </c>
      <c r="O691" s="298" t="s">
        <v>15855</v>
      </c>
      <c r="P691" s="299" t="s">
        <v>15857</v>
      </c>
      <c r="Q691" s="300" t="s">
        <v>15855</v>
      </c>
      <c r="R691" s="182" t="str">
        <f ca="1">IF(ISERROR($V691),"",OFFSET('Smelter Look-up'!$C$4,$V691-4,0)&amp;"")</f>
        <v>Ningxia Orient Tantalum Industry Co., Ltd.</v>
      </c>
      <c r="S691" s="181" t="str">
        <f t="shared" ca="1" si="95"/>
        <v>CN</v>
      </c>
      <c r="T691" s="181" t="str">
        <f ca="1">IF(B691="","",IF(ISERROR(MATCH($J691,SorP!$B$1:$B$6226,0)),"",INDIRECT("'SorP'!$A$"&amp;MATCH($S691&amp;$J691,SorP!C:C,0))))</f>
        <v>CN-NX</v>
      </c>
      <c r="U691" s="201"/>
      <c r="V691" s="226">
        <f>IF(C691="",NA(),IF(OR(C691="Smelter not listed",C691="Smelter not yet identified"),MATCH($B691&amp;$D691,'Smelter Look-up'!$J:$J,0),MATCH($B691&amp;$C691,'Smelter Look-up'!$J:$J,0)))</f>
        <v>369</v>
      </c>
      <c r="X691" s="227">
        <f t="shared" si="96"/>
        <v>0</v>
      </c>
      <c r="AB691" s="228" t="str">
        <f t="shared" si="97"/>
        <v>TantalumNingxia Orient Tantalum Industry Co., Ltd.</v>
      </c>
    </row>
    <row r="692" spans="1:28" s="227" customFormat="1" ht="94.5">
      <c r="A692" s="301" t="s">
        <v>751</v>
      </c>
      <c r="B692" s="293" t="s">
        <v>1121</v>
      </c>
      <c r="C692" s="294" t="s">
        <v>1020</v>
      </c>
      <c r="D692" s="295" t="s">
        <v>1020</v>
      </c>
      <c r="E692" s="293" t="s">
        <v>1090</v>
      </c>
      <c r="F692" s="293" t="s">
        <v>751</v>
      </c>
      <c r="G692" s="293" t="s">
        <v>13217</v>
      </c>
      <c r="H692" s="296" t="s">
        <v>16470</v>
      </c>
      <c r="I692" s="297" t="s">
        <v>1718</v>
      </c>
      <c r="J692" s="297" t="s">
        <v>13582</v>
      </c>
      <c r="K692" s="298" t="s">
        <v>16466</v>
      </c>
      <c r="L692" s="298" t="s">
        <v>16467</v>
      </c>
      <c r="M692" s="298" t="s">
        <v>16343</v>
      </c>
      <c r="N692" s="298" t="s">
        <v>16344</v>
      </c>
      <c r="O692" s="298" t="s">
        <v>16344</v>
      </c>
      <c r="P692" s="299" t="s">
        <v>15857</v>
      </c>
      <c r="Q692" s="300" t="s">
        <v>16345</v>
      </c>
      <c r="R692" s="182" t="str">
        <f ca="1">IF(ISERROR($V692),"",OFFSET('Smelter Look-up'!$C$4,$V692-4,0)&amp;"")</f>
        <v>Ningxia Orient Tantalum Industry Co., Ltd.</v>
      </c>
      <c r="S692" s="181" t="str">
        <f t="shared" ca="1" si="95"/>
        <v>CN</v>
      </c>
      <c r="T692" s="181" t="str">
        <f ca="1">IF(B692="","",IF(ISERROR(MATCH($J692,SorP!$B$1:$B$6226,0)),"",INDIRECT("'SorP'!$A$"&amp;MATCH($S692&amp;$J692,SorP!C:C,0))))</f>
        <v>CN-NX</v>
      </c>
      <c r="U692" s="201"/>
      <c r="V692" s="226">
        <f>IF(C692="",NA(),IF(OR(C692="Smelter not listed",C692="Smelter not yet identified"),MATCH($B692&amp;$D692,'Smelter Look-up'!$J:$J,0),MATCH($B692&amp;$C692,'Smelter Look-up'!$J:$J,0)))</f>
        <v>369</v>
      </c>
      <c r="X692" s="227">
        <f t="shared" si="96"/>
        <v>0</v>
      </c>
      <c r="AB692" s="228" t="str">
        <f t="shared" si="97"/>
        <v>TantalumNingxia Orient Tantalum Industry Co., Ltd.</v>
      </c>
    </row>
    <row r="693" spans="1:28" s="227" customFormat="1" ht="54">
      <c r="A693" s="301" t="s">
        <v>750</v>
      </c>
      <c r="B693" s="293" t="s">
        <v>1121</v>
      </c>
      <c r="C693" s="294" t="s">
        <v>2509</v>
      </c>
      <c r="D693" s="295" t="s">
        <v>2509</v>
      </c>
      <c r="E693" s="293" t="s">
        <v>1093</v>
      </c>
      <c r="F693" s="293" t="s">
        <v>750</v>
      </c>
      <c r="G693" s="293" t="s">
        <v>13217</v>
      </c>
      <c r="H693" s="296" t="s">
        <v>15855</v>
      </c>
      <c r="I693" s="297" t="s">
        <v>1716</v>
      </c>
      <c r="J693" s="297" t="s">
        <v>1717</v>
      </c>
      <c r="K693" s="298" t="s">
        <v>15855</v>
      </c>
      <c r="L693" s="298" t="s">
        <v>15855</v>
      </c>
      <c r="M693" s="298" t="s">
        <v>15855</v>
      </c>
      <c r="N693" s="298" t="s">
        <v>15855</v>
      </c>
      <c r="O693" s="298" t="s">
        <v>15855</v>
      </c>
      <c r="P693" s="299" t="s">
        <v>15857</v>
      </c>
      <c r="Q693" s="300" t="s">
        <v>15855</v>
      </c>
      <c r="R693" s="182" t="str">
        <f ca="1">IF(ISERROR($V693),"",OFFSET('Smelter Look-up'!$C$4,$V693-4,0)&amp;"")</f>
        <v>NPM Silmet AS</v>
      </c>
      <c r="S693" s="181" t="str">
        <f t="shared" ca="1" si="95"/>
        <v>EE</v>
      </c>
      <c r="T693" s="181" t="str">
        <f ca="1">IF(B693="","",IF(ISERROR(MATCH($J693,SorP!$B$1:$B$6226,0)),"",INDIRECT("'SorP'!$A$"&amp;MATCH($S693&amp;$J693,SorP!C:C,0))))</f>
        <v>EE-45</v>
      </c>
      <c r="U693" s="201"/>
      <c r="V693" s="226">
        <f>IF(C693="",NA(),IF(OR(C693="Smelter not listed",C693="Smelter not yet identified"),MATCH($B693&amp;$D693,'Smelter Look-up'!$J:$J,0),MATCH($B693&amp;$C693,'Smelter Look-up'!$J:$J,0)))</f>
        <v>370</v>
      </c>
      <c r="X693" s="227">
        <f t="shared" si="96"/>
        <v>0</v>
      </c>
      <c r="AB693" s="228" t="str">
        <f t="shared" si="97"/>
        <v>TantalumNPM Silmet AS</v>
      </c>
    </row>
    <row r="694" spans="1:28" s="227" customFormat="1" ht="54">
      <c r="A694" s="301" t="s">
        <v>750</v>
      </c>
      <c r="B694" s="293" t="s">
        <v>1121</v>
      </c>
      <c r="C694" s="294" t="s">
        <v>2509</v>
      </c>
      <c r="D694" s="295" t="s">
        <v>2509</v>
      </c>
      <c r="E694" s="293" t="s">
        <v>1093</v>
      </c>
      <c r="F694" s="293" t="s">
        <v>750</v>
      </c>
      <c r="G694" s="293" t="s">
        <v>13217</v>
      </c>
      <c r="H694" s="296" t="s">
        <v>15855</v>
      </c>
      <c r="I694" s="297" t="s">
        <v>1716</v>
      </c>
      <c r="J694" s="297" t="s">
        <v>1717</v>
      </c>
      <c r="K694" s="298" t="s">
        <v>15855</v>
      </c>
      <c r="L694" s="298" t="s">
        <v>15855</v>
      </c>
      <c r="M694" s="298" t="s">
        <v>15855</v>
      </c>
      <c r="N694" s="298" t="s">
        <v>15855</v>
      </c>
      <c r="O694" s="298" t="s">
        <v>16471</v>
      </c>
      <c r="P694" s="299" t="s">
        <v>15857</v>
      </c>
      <c r="Q694" s="300" t="s">
        <v>15855</v>
      </c>
      <c r="R694" s="182" t="str">
        <f ca="1">IF(ISERROR($V694),"",OFFSET('Smelter Look-up'!$C$4,$V694-4,0)&amp;"")</f>
        <v>NPM Silmet AS</v>
      </c>
      <c r="S694" s="181" t="str">
        <f t="shared" ca="1" si="95"/>
        <v>EE</v>
      </c>
      <c r="T694" s="181" t="str">
        <f ca="1">IF(B694="","",IF(ISERROR(MATCH($J694,SorP!$B$1:$B$6226,0)),"",INDIRECT("'SorP'!$A$"&amp;MATCH($S694&amp;$J694,SorP!C:C,0))))</f>
        <v>EE-45</v>
      </c>
      <c r="U694" s="201"/>
      <c r="V694" s="226">
        <f>IF(C694="",NA(),IF(OR(C694="Smelter not listed",C694="Smelter not yet identified"),MATCH($B694&amp;$D694,'Smelter Look-up'!$J:$J,0),MATCH($B694&amp;$C694,'Smelter Look-up'!$J:$J,0)))</f>
        <v>370</v>
      </c>
      <c r="X694" s="227">
        <f t="shared" si="96"/>
        <v>0</v>
      </c>
      <c r="AB694" s="228" t="str">
        <f t="shared" si="97"/>
        <v>TantalumNPM Silmet AS</v>
      </c>
    </row>
    <row r="695" spans="1:28" s="227" customFormat="1" ht="54">
      <c r="A695" s="301" t="s">
        <v>750</v>
      </c>
      <c r="B695" s="293" t="s">
        <v>1121</v>
      </c>
      <c r="C695" s="294" t="s">
        <v>2509</v>
      </c>
      <c r="D695" s="295" t="s">
        <v>2509</v>
      </c>
      <c r="E695" s="293" t="s">
        <v>1093</v>
      </c>
      <c r="F695" s="293" t="s">
        <v>750</v>
      </c>
      <c r="G695" s="293" t="s">
        <v>13217</v>
      </c>
      <c r="H695" s="296" t="s">
        <v>15855</v>
      </c>
      <c r="I695" s="297" t="s">
        <v>1716</v>
      </c>
      <c r="J695" s="297" t="s">
        <v>1717</v>
      </c>
      <c r="K695" s="298" t="s">
        <v>16472</v>
      </c>
      <c r="L695" s="298" t="s">
        <v>16473</v>
      </c>
      <c r="M695" s="298" t="s">
        <v>15892</v>
      </c>
      <c r="N695" s="298" t="s">
        <v>15862</v>
      </c>
      <c r="O695" s="298" t="s">
        <v>16368</v>
      </c>
      <c r="P695" s="299" t="s">
        <v>15857</v>
      </c>
      <c r="Q695" s="300" t="s">
        <v>15855</v>
      </c>
      <c r="R695" s="182" t="str">
        <f ca="1">IF(ISERROR($V695),"",OFFSET('Smelter Look-up'!$C$4,$V695-4,0)&amp;"")</f>
        <v>NPM Silmet AS</v>
      </c>
      <c r="S695" s="181" t="str">
        <f t="shared" ca="1" si="95"/>
        <v>EE</v>
      </c>
      <c r="T695" s="181" t="str">
        <f ca="1">IF(B695="","",IF(ISERROR(MATCH($J695,SorP!$B$1:$B$6226,0)),"",INDIRECT("'SorP'!$A$"&amp;MATCH($S695&amp;$J695,SorP!C:C,0))))</f>
        <v>EE-45</v>
      </c>
      <c r="U695" s="201"/>
      <c r="V695" s="226">
        <f>IF(C695="",NA(),IF(OR(C695="Smelter not listed",C695="Smelter not yet identified"),MATCH($B695&amp;$D695,'Smelter Look-up'!$J:$J,0),MATCH($B695&amp;$C695,'Smelter Look-up'!$J:$J,0)))</f>
        <v>370</v>
      </c>
      <c r="X695" s="227">
        <f t="shared" si="96"/>
        <v>0</v>
      </c>
      <c r="AB695" s="228" t="str">
        <f t="shared" si="97"/>
        <v>TantalumNPM Silmet AS</v>
      </c>
    </row>
    <row r="696" spans="1:28" s="227" customFormat="1" ht="54">
      <c r="A696" s="301" t="s">
        <v>750</v>
      </c>
      <c r="B696" s="293" t="s">
        <v>1121</v>
      </c>
      <c r="C696" s="294" t="s">
        <v>2509</v>
      </c>
      <c r="D696" s="295" t="s">
        <v>2509</v>
      </c>
      <c r="E696" s="293" t="s">
        <v>1093</v>
      </c>
      <c r="F696" s="293" t="s">
        <v>750</v>
      </c>
      <c r="G696" s="293" t="s">
        <v>13217</v>
      </c>
      <c r="H696" s="302" t="s">
        <v>15880</v>
      </c>
      <c r="I696" s="297" t="s">
        <v>1716</v>
      </c>
      <c r="J696" s="297" t="s">
        <v>1717</v>
      </c>
      <c r="K696" s="298" t="s">
        <v>15855</v>
      </c>
      <c r="L696" s="298" t="s">
        <v>15855</v>
      </c>
      <c r="M696" s="298" t="s">
        <v>15855</v>
      </c>
      <c r="N696" s="298" t="s">
        <v>15855</v>
      </c>
      <c r="O696" s="298" t="s">
        <v>15855</v>
      </c>
      <c r="P696" s="299" t="s">
        <v>15857</v>
      </c>
      <c r="Q696" s="300" t="s">
        <v>15855</v>
      </c>
      <c r="R696" s="182" t="str">
        <f ca="1">IF(ISERROR($V696),"",OFFSET('Smelter Look-up'!$C$4,$V696-4,0)&amp;"")</f>
        <v>NPM Silmet AS</v>
      </c>
      <c r="S696" s="181" t="str">
        <f t="shared" ca="1" si="95"/>
        <v>EE</v>
      </c>
      <c r="T696" s="181" t="str">
        <f ca="1">IF(B696="","",IF(ISERROR(MATCH($J696,SorP!$B$1:$B$6226,0)),"",INDIRECT("'SorP'!$A$"&amp;MATCH($S696&amp;$J696,SorP!C:C,0))))</f>
        <v>EE-45</v>
      </c>
      <c r="U696" s="201"/>
      <c r="V696" s="226">
        <f>IF(C696="",NA(),IF(OR(C696="Smelter not listed",C696="Smelter not yet identified"),MATCH($B696&amp;$D696,'Smelter Look-up'!$J:$J,0),MATCH($B696&amp;$C696,'Smelter Look-up'!$J:$J,0)))</f>
        <v>370</v>
      </c>
      <c r="X696" s="227">
        <f t="shared" si="96"/>
        <v>0</v>
      </c>
      <c r="AB696" s="228" t="str">
        <f t="shared" si="97"/>
        <v>TantalumNPM Silmet AS</v>
      </c>
    </row>
    <row r="697" spans="1:28" s="227" customFormat="1" ht="54">
      <c r="A697" s="301" t="s">
        <v>750</v>
      </c>
      <c r="B697" s="293" t="s">
        <v>1121</v>
      </c>
      <c r="C697" s="294" t="s">
        <v>2509</v>
      </c>
      <c r="D697" s="295" t="s">
        <v>2509</v>
      </c>
      <c r="E697" s="293" t="s">
        <v>1093</v>
      </c>
      <c r="F697" s="293" t="s">
        <v>750</v>
      </c>
      <c r="G697" s="293" t="s">
        <v>13217</v>
      </c>
      <c r="H697" s="296" t="s">
        <v>16474</v>
      </c>
      <c r="I697" s="297" t="s">
        <v>1716</v>
      </c>
      <c r="J697" s="297" t="s">
        <v>1717</v>
      </c>
      <c r="K697" s="298" t="s">
        <v>16472</v>
      </c>
      <c r="L697" s="298" t="s">
        <v>16473</v>
      </c>
      <c r="M697" s="298" t="s">
        <v>16343</v>
      </c>
      <c r="N697" s="298" t="s">
        <v>16344</v>
      </c>
      <c r="O697" s="298" t="s">
        <v>16344</v>
      </c>
      <c r="P697" s="299" t="s">
        <v>15857</v>
      </c>
      <c r="Q697" s="300" t="s">
        <v>16345</v>
      </c>
      <c r="R697" s="182" t="str">
        <f ca="1">IF(ISERROR($V697),"",OFFSET('Smelter Look-up'!$C$4,$V697-4,0)&amp;"")</f>
        <v>NPM Silmet AS</v>
      </c>
      <c r="S697" s="181" t="str">
        <f t="shared" ca="1" si="95"/>
        <v>EE</v>
      </c>
      <c r="T697" s="181" t="str">
        <f ca="1">IF(B697="","",IF(ISERROR(MATCH($J697,SorP!$B$1:$B$6226,0)),"",INDIRECT("'SorP'!$A$"&amp;MATCH($S697&amp;$J697,SorP!C:C,0))))</f>
        <v>EE-45</v>
      </c>
      <c r="U697" s="201"/>
      <c r="V697" s="226">
        <f>IF(C697="",NA(),IF(OR(C697="Smelter not listed",C697="Smelter not yet identified"),MATCH($B697&amp;$D697,'Smelter Look-up'!$J:$J,0),MATCH($B697&amp;$C697,'Smelter Look-up'!$J:$J,0)))</f>
        <v>370</v>
      </c>
      <c r="X697" s="227">
        <f t="shared" si="96"/>
        <v>0</v>
      </c>
      <c r="AB697" s="228" t="str">
        <f t="shared" si="97"/>
        <v>TantalumNPM Silmet AS</v>
      </c>
    </row>
    <row r="698" spans="1:28" s="227" customFormat="1" ht="40.5">
      <c r="A698" s="301" t="s">
        <v>752</v>
      </c>
      <c r="B698" s="293" t="s">
        <v>1121</v>
      </c>
      <c r="C698" s="294" t="s">
        <v>807</v>
      </c>
      <c r="D698" s="295" t="s">
        <v>807</v>
      </c>
      <c r="E698" s="293" t="s">
        <v>2415</v>
      </c>
      <c r="F698" s="293" t="s">
        <v>752</v>
      </c>
      <c r="G698" s="293" t="s">
        <v>13217</v>
      </c>
      <c r="H698" s="296" t="s">
        <v>15855</v>
      </c>
      <c r="I698" s="297" t="s">
        <v>13801</v>
      </c>
      <c r="J698" s="297" t="s">
        <v>2246</v>
      </c>
      <c r="K698" s="298" t="s">
        <v>15855</v>
      </c>
      <c r="L698" s="298" t="s">
        <v>15855</v>
      </c>
      <c r="M698" s="298" t="s">
        <v>15855</v>
      </c>
      <c r="N698" s="298" t="s">
        <v>15855</v>
      </c>
      <c r="O698" s="298" t="s">
        <v>15855</v>
      </c>
      <c r="P698" s="299" t="s">
        <v>15857</v>
      </c>
      <c r="Q698" s="300" t="s">
        <v>15855</v>
      </c>
      <c r="R698" s="182" t="str">
        <f ca="1">IF(ISERROR($V698),"",OFFSET('Smelter Look-up'!$C$4,$V698-4,0)&amp;"")</f>
        <v>QuantumClean</v>
      </c>
      <c r="S698" s="181" t="str">
        <f t="shared" ca="1" si="95"/>
        <v>US</v>
      </c>
      <c r="T698" s="181" t="str">
        <f ca="1">IF(B698="","",IF(ISERROR(MATCH($J698,SorP!$B$1:$B$6226,0)),"",INDIRECT("'SorP'!$A$"&amp;MATCH($S698&amp;$J698,SorP!C:C,0))))</f>
        <v>US-TX</v>
      </c>
      <c r="U698" s="201"/>
      <c r="V698" s="226">
        <f>IF(C698="",NA(),IF(OR(C698="Smelter not listed",C698="Smelter not yet identified"),MATCH($B698&amp;$D698,'Smelter Look-up'!$J:$J,0),MATCH($B698&amp;$C698,'Smelter Look-up'!$J:$J,0)))</f>
        <v>372</v>
      </c>
      <c r="X698" s="227">
        <f t="shared" si="96"/>
        <v>0</v>
      </c>
      <c r="AB698" s="228" t="str">
        <f t="shared" si="97"/>
        <v>TantalumQuantumClean</v>
      </c>
    </row>
    <row r="699" spans="1:28" s="227" customFormat="1" ht="40.5">
      <c r="A699" s="301" t="s">
        <v>752</v>
      </c>
      <c r="B699" s="293" t="s">
        <v>1121</v>
      </c>
      <c r="C699" s="294" t="s">
        <v>807</v>
      </c>
      <c r="D699" s="295" t="s">
        <v>807</v>
      </c>
      <c r="E699" s="293" t="s">
        <v>2415</v>
      </c>
      <c r="F699" s="293" t="s">
        <v>752</v>
      </c>
      <c r="G699" s="293" t="s">
        <v>13217</v>
      </c>
      <c r="H699" s="296" t="s">
        <v>15855</v>
      </c>
      <c r="I699" s="297" t="s">
        <v>13801</v>
      </c>
      <c r="J699" s="297" t="s">
        <v>2246</v>
      </c>
      <c r="K699" s="298" t="s">
        <v>15855</v>
      </c>
      <c r="L699" s="298" t="s">
        <v>15855</v>
      </c>
      <c r="M699" s="298" t="s">
        <v>15855</v>
      </c>
      <c r="N699" s="298" t="s">
        <v>15855</v>
      </c>
      <c r="O699" s="298" t="s">
        <v>15925</v>
      </c>
      <c r="P699" s="299" t="s">
        <v>15857</v>
      </c>
      <c r="Q699" s="300" t="s">
        <v>15855</v>
      </c>
      <c r="R699" s="182" t="str">
        <f ca="1">IF(ISERROR($V699),"",OFFSET('Smelter Look-up'!$C$4,$V699-4,0)&amp;"")</f>
        <v>QuantumClean</v>
      </c>
      <c r="S699" s="181" t="str">
        <f t="shared" ref="S699" ca="1" si="98">IF(B699="","",IF(ISERROR(MATCH($E699,CL,0)),"Unknown",INDIRECT("'C'!$A$"&amp;MATCH($E699,CL,0)+1)))</f>
        <v>US</v>
      </c>
      <c r="T699" s="181" t="str">
        <f ca="1">IF(B699="","",IF(ISERROR(MATCH($J699,SorP!$B$1:$B$6226,0)),"",INDIRECT("'SorP'!$A$"&amp;MATCH($S699&amp;$J699,SorP!C:C,0))))</f>
        <v>US-TX</v>
      </c>
      <c r="U699" s="201"/>
      <c r="V699" s="226">
        <f>IF(C699="",NA(),IF(OR(C699="Smelter not listed",C699="Smelter not yet identified"),MATCH($B699&amp;$D699,'Smelter Look-up'!$J:$J,0),MATCH($B699&amp;$C699,'Smelter Look-up'!$J:$J,0)))</f>
        <v>372</v>
      </c>
      <c r="X699" s="227">
        <f t="shared" ref="X699" si="99">IF(AND(C699="Smelter not listed",OR(LEN(D699)=0,LEN(E699)=0)),1,0)</f>
        <v>0</v>
      </c>
      <c r="AB699" s="228" t="str">
        <f t="shared" ref="AB699" si="100">B699&amp;C699</f>
        <v>TantalumQuantumClean</v>
      </c>
    </row>
    <row r="700" spans="1:28" s="227" customFormat="1" ht="40.5">
      <c r="A700" s="301" t="s">
        <v>752</v>
      </c>
      <c r="B700" s="293" t="s">
        <v>1121</v>
      </c>
      <c r="C700" s="294" t="s">
        <v>807</v>
      </c>
      <c r="D700" s="295" t="s">
        <v>807</v>
      </c>
      <c r="E700" s="293" t="s">
        <v>2415</v>
      </c>
      <c r="F700" s="293" t="s">
        <v>752</v>
      </c>
      <c r="G700" s="293" t="s">
        <v>13217</v>
      </c>
      <c r="H700" s="296" t="s">
        <v>16475</v>
      </c>
      <c r="I700" s="297" t="s">
        <v>13801</v>
      </c>
      <c r="J700" s="297" t="s">
        <v>2246</v>
      </c>
      <c r="K700" s="298" t="s">
        <v>16476</v>
      </c>
      <c r="L700" s="298" t="s">
        <v>16477</v>
      </c>
      <c r="M700" s="298" t="s">
        <v>16343</v>
      </c>
      <c r="N700" s="298" t="s">
        <v>15876</v>
      </c>
      <c r="O700" s="298" t="s">
        <v>16478</v>
      </c>
      <c r="P700" s="299" t="s">
        <v>15875</v>
      </c>
      <c r="Q700" s="300" t="s">
        <v>16345</v>
      </c>
      <c r="R700" s="182" t="str">
        <f ca="1">IF(ISERROR($V700),"",OFFSET('Smelter Look-up'!$C$4,$V700-4,0)&amp;"")</f>
        <v>QuantumClean</v>
      </c>
      <c r="S700" s="181" t="str">
        <f t="shared" ref="S700:S731" ca="1" si="101">IF(B700="","",IF(ISERROR(MATCH($E700,CL,0)),"Unknown",INDIRECT("'C'!$A$"&amp;MATCH($E700,CL,0)+1)))</f>
        <v>US</v>
      </c>
      <c r="T700" s="181" t="str">
        <f ca="1">IF(B700="","",IF(ISERROR(MATCH($J700,SorP!$B$1:$B$6226,0)),"",INDIRECT("'SorP'!$A$"&amp;MATCH($S700&amp;$J700,SorP!C:C,0))))</f>
        <v>US-TX</v>
      </c>
      <c r="U700" s="201"/>
      <c r="V700" s="226">
        <f>IF(C700="",NA(),IF(OR(C700="Smelter not listed",C700="Smelter not yet identified"),MATCH($B700&amp;$D700,'Smelter Look-up'!$J:$J,0),MATCH($B700&amp;$C700,'Smelter Look-up'!$J:$J,0)))</f>
        <v>372</v>
      </c>
      <c r="X700" s="227">
        <f t="shared" ref="X700:X731" si="102">IF(AND(C700="Smelter not listed",OR(LEN(D700)=0,LEN(E700)=0)),1,0)</f>
        <v>0</v>
      </c>
      <c r="AB700" s="228" t="str">
        <f t="shared" ref="AB700:AB731" si="103">B700&amp;C700</f>
        <v>TantalumQuantumClean</v>
      </c>
    </row>
    <row r="701" spans="1:28" s="227" customFormat="1" ht="81">
      <c r="A701" s="301" t="s">
        <v>1743</v>
      </c>
      <c r="B701" s="293" t="s">
        <v>1121</v>
      </c>
      <c r="C701" s="294" t="s">
        <v>12412</v>
      </c>
      <c r="D701" s="295" t="s">
        <v>12412</v>
      </c>
      <c r="E701" s="293" t="s">
        <v>1086</v>
      </c>
      <c r="F701" s="293" t="s">
        <v>1743</v>
      </c>
      <c r="G701" s="293" t="s">
        <v>13217</v>
      </c>
      <c r="H701" s="296" t="s">
        <v>15855</v>
      </c>
      <c r="I701" s="297" t="s">
        <v>1709</v>
      </c>
      <c r="J701" s="297" t="s">
        <v>1744</v>
      </c>
      <c r="K701" s="298" t="s">
        <v>15855</v>
      </c>
      <c r="L701" s="298" t="s">
        <v>15855</v>
      </c>
      <c r="M701" s="298" t="s">
        <v>15855</v>
      </c>
      <c r="N701" s="298" t="s">
        <v>15855</v>
      </c>
      <c r="O701" s="298" t="s">
        <v>15855</v>
      </c>
      <c r="P701" s="299" t="s">
        <v>15857</v>
      </c>
      <c r="Q701" s="300" t="s">
        <v>15855</v>
      </c>
      <c r="R701" s="182" t="str">
        <f ca="1">IF(ISERROR($V701),"",OFFSET('Smelter Look-up'!$C$4,$V701-4,0)&amp;"")</f>
        <v>Resind Industria e Comercio Ltda.</v>
      </c>
      <c r="S701" s="181" t="str">
        <f t="shared" ca="1" si="101"/>
        <v>BR</v>
      </c>
      <c r="T701" s="181" t="str">
        <f ca="1">IF(B701="","",IF(ISERROR(MATCH($J701,SorP!$B$1:$B$6226,0)),"",INDIRECT("'SorP'!$A$"&amp;MATCH($S701&amp;$J701,SorP!C:C,0))))</f>
        <v>BR-MG</v>
      </c>
      <c r="U701" s="201"/>
      <c r="V701" s="226">
        <f>IF(C701="",NA(),IF(OR(C701="Smelter not listed",C701="Smelter not yet identified"),MATCH($B701&amp;$D701,'Smelter Look-up'!$J:$J,0),MATCH($B701&amp;$C701,'Smelter Look-up'!$J:$J,0)))</f>
        <v>374</v>
      </c>
      <c r="X701" s="227">
        <f t="shared" si="102"/>
        <v>0</v>
      </c>
      <c r="AB701" s="228" t="str">
        <f t="shared" si="103"/>
        <v>TantalumResind Industria e Comercio Ltda.</v>
      </c>
    </row>
    <row r="702" spans="1:28" s="227" customFormat="1" ht="81">
      <c r="A702" s="301" t="s">
        <v>1743</v>
      </c>
      <c r="B702" s="293" t="s">
        <v>1121</v>
      </c>
      <c r="C702" s="294" t="s">
        <v>12412</v>
      </c>
      <c r="D702" s="295" t="s">
        <v>12412</v>
      </c>
      <c r="E702" s="293" t="s">
        <v>1086</v>
      </c>
      <c r="F702" s="293" t="s">
        <v>1743</v>
      </c>
      <c r="G702" s="293" t="s">
        <v>13217</v>
      </c>
      <c r="H702" s="296" t="s">
        <v>15855</v>
      </c>
      <c r="I702" s="297" t="s">
        <v>1709</v>
      </c>
      <c r="J702" s="297" t="s">
        <v>1744</v>
      </c>
      <c r="K702" s="298" t="s">
        <v>15855</v>
      </c>
      <c r="L702" s="298" t="s">
        <v>15855</v>
      </c>
      <c r="M702" s="298" t="s">
        <v>15855</v>
      </c>
      <c r="N702" s="298" t="s">
        <v>15855</v>
      </c>
      <c r="O702" s="298" t="s">
        <v>15858</v>
      </c>
      <c r="P702" s="299" t="s">
        <v>15857</v>
      </c>
      <c r="Q702" s="300" t="s">
        <v>15855</v>
      </c>
      <c r="R702" s="182" t="str">
        <f ca="1">IF(ISERROR($V702),"",OFFSET('Smelter Look-up'!$C$4,$V702-4,0)&amp;"")</f>
        <v>Resind Industria e Comercio Ltda.</v>
      </c>
      <c r="S702" s="181" t="str">
        <f t="shared" ca="1" si="101"/>
        <v>BR</v>
      </c>
      <c r="T702" s="181" t="str">
        <f ca="1">IF(B702="","",IF(ISERROR(MATCH($J702,SorP!$B$1:$B$6226,0)),"",INDIRECT("'SorP'!$A$"&amp;MATCH($S702&amp;$J702,SorP!C:C,0))))</f>
        <v>BR-MG</v>
      </c>
      <c r="U702" s="201"/>
      <c r="V702" s="226">
        <f>IF(C702="",NA(),IF(OR(C702="Smelter not listed",C702="Smelter not yet identified"),MATCH($B702&amp;$D702,'Smelter Look-up'!$J:$J,0),MATCH($B702&amp;$C702,'Smelter Look-up'!$J:$J,0)))</f>
        <v>374</v>
      </c>
      <c r="X702" s="227">
        <f t="shared" si="102"/>
        <v>0</v>
      </c>
      <c r="AB702" s="228" t="str">
        <f t="shared" si="103"/>
        <v>TantalumResind Industria e Comercio Ltda.</v>
      </c>
    </row>
    <row r="703" spans="1:28" s="227" customFormat="1" ht="81">
      <c r="A703" s="301" t="s">
        <v>1743</v>
      </c>
      <c r="B703" s="293" t="s">
        <v>1121</v>
      </c>
      <c r="C703" s="294" t="s">
        <v>12412</v>
      </c>
      <c r="D703" s="295" t="s">
        <v>12412</v>
      </c>
      <c r="E703" s="293" t="s">
        <v>1086</v>
      </c>
      <c r="F703" s="293" t="s">
        <v>1743</v>
      </c>
      <c r="G703" s="293" t="s">
        <v>13217</v>
      </c>
      <c r="H703" s="296" t="s">
        <v>15855</v>
      </c>
      <c r="I703" s="297" t="s">
        <v>1709</v>
      </c>
      <c r="J703" s="297" t="s">
        <v>1744</v>
      </c>
      <c r="K703" s="298" t="s">
        <v>16479</v>
      </c>
      <c r="L703" s="298" t="s">
        <v>16480</v>
      </c>
      <c r="M703" s="298" t="s">
        <v>16481</v>
      </c>
      <c r="N703" s="298" t="s">
        <v>15862</v>
      </c>
      <c r="O703" s="298" t="s">
        <v>16334</v>
      </c>
      <c r="P703" s="299" t="s">
        <v>15857</v>
      </c>
      <c r="Q703" s="300" t="s">
        <v>15855</v>
      </c>
      <c r="R703" s="182" t="str">
        <f ca="1">IF(ISERROR($V703),"",OFFSET('Smelter Look-up'!$C$4,$V703-4,0)&amp;"")</f>
        <v>Resind Industria e Comercio Ltda.</v>
      </c>
      <c r="S703" s="181" t="str">
        <f t="shared" ca="1" si="101"/>
        <v>BR</v>
      </c>
      <c r="T703" s="181" t="str">
        <f ca="1">IF(B703="","",IF(ISERROR(MATCH($J703,SorP!$B$1:$B$6226,0)),"",INDIRECT("'SorP'!$A$"&amp;MATCH($S703&amp;$J703,SorP!C:C,0))))</f>
        <v>BR-MG</v>
      </c>
      <c r="U703" s="201"/>
      <c r="V703" s="226">
        <f>IF(C703="",NA(),IF(OR(C703="Smelter not listed",C703="Smelter not yet identified"),MATCH($B703&amp;$D703,'Smelter Look-up'!$J:$J,0),MATCH($B703&amp;$C703,'Smelter Look-up'!$J:$J,0)))</f>
        <v>374</v>
      </c>
      <c r="X703" s="227">
        <f t="shared" si="102"/>
        <v>0</v>
      </c>
      <c r="AB703" s="228" t="str">
        <f t="shared" si="103"/>
        <v>TantalumResind Industria e Comercio Ltda.</v>
      </c>
    </row>
    <row r="704" spans="1:28" s="227" customFormat="1" ht="81">
      <c r="A704" s="301" t="s">
        <v>1743</v>
      </c>
      <c r="B704" s="293" t="s">
        <v>1121</v>
      </c>
      <c r="C704" s="294" t="s">
        <v>12412</v>
      </c>
      <c r="D704" s="295" t="s">
        <v>12412</v>
      </c>
      <c r="E704" s="293" t="s">
        <v>1086</v>
      </c>
      <c r="F704" s="293" t="s">
        <v>1743</v>
      </c>
      <c r="G704" s="293" t="s">
        <v>13217</v>
      </c>
      <c r="H704" s="296" t="s">
        <v>16482</v>
      </c>
      <c r="I704" s="297" t="s">
        <v>1709</v>
      </c>
      <c r="J704" s="297" t="s">
        <v>1744</v>
      </c>
      <c r="K704" s="298" t="s">
        <v>16483</v>
      </c>
      <c r="L704" s="298" t="s">
        <v>16484</v>
      </c>
      <c r="M704" s="298" t="s">
        <v>16343</v>
      </c>
      <c r="N704" s="298" t="s">
        <v>16344</v>
      </c>
      <c r="O704" s="298" t="s">
        <v>16344</v>
      </c>
      <c r="P704" s="299" t="s">
        <v>15857</v>
      </c>
      <c r="Q704" s="300" t="s">
        <v>16345</v>
      </c>
      <c r="R704" s="182" t="str">
        <f ca="1">IF(ISERROR($V704),"",OFFSET('Smelter Look-up'!$C$4,$V704-4,0)&amp;"")</f>
        <v>Resind Industria e Comercio Ltda.</v>
      </c>
      <c r="S704" s="181" t="str">
        <f t="shared" ca="1" si="101"/>
        <v>BR</v>
      </c>
      <c r="T704" s="181" t="str">
        <f ca="1">IF(B704="","",IF(ISERROR(MATCH($J704,SorP!$B$1:$B$6226,0)),"",INDIRECT("'SorP'!$A$"&amp;MATCH($S704&amp;$J704,SorP!C:C,0))))</f>
        <v>BR-MG</v>
      </c>
      <c r="U704" s="201"/>
      <c r="V704" s="226">
        <f>IF(C704="",NA(),IF(OR(C704="Smelter not listed",C704="Smelter not yet identified"),MATCH($B704&amp;$D704,'Smelter Look-up'!$J:$J,0),MATCH($B704&amp;$C704,'Smelter Look-up'!$J:$J,0)))</f>
        <v>374</v>
      </c>
      <c r="X704" s="227">
        <f t="shared" si="102"/>
        <v>0</v>
      </c>
      <c r="AB704" s="228" t="str">
        <f t="shared" si="103"/>
        <v>TantalumResind Industria e Comercio Ltda.</v>
      </c>
    </row>
    <row r="705" spans="1:28" s="227" customFormat="1" ht="121.5">
      <c r="A705" s="301" t="s">
        <v>15054</v>
      </c>
      <c r="B705" s="293" t="s">
        <v>1121</v>
      </c>
      <c r="C705" s="294" t="s">
        <v>15432</v>
      </c>
      <c r="D705" s="295" t="s">
        <v>15432</v>
      </c>
      <c r="E705" s="293" t="s">
        <v>1090</v>
      </c>
      <c r="F705" s="293" t="s">
        <v>15054</v>
      </c>
      <c r="G705" s="293" t="s">
        <v>13217</v>
      </c>
      <c r="H705" s="296" t="s">
        <v>15855</v>
      </c>
      <c r="I705" s="297" t="s">
        <v>15106</v>
      </c>
      <c r="J705" s="297" t="s">
        <v>13609</v>
      </c>
      <c r="K705" s="298" t="s">
        <v>15855</v>
      </c>
      <c r="L705" s="298" t="s">
        <v>15855</v>
      </c>
      <c r="M705" s="298" t="s">
        <v>15855</v>
      </c>
      <c r="N705" s="298" t="s">
        <v>15855</v>
      </c>
      <c r="O705" s="298" t="s">
        <v>15858</v>
      </c>
      <c r="P705" s="299" t="s">
        <v>15857</v>
      </c>
      <c r="Q705" s="300" t="s">
        <v>15855</v>
      </c>
      <c r="R705" s="182" t="str">
        <f ca="1">IF(ISERROR($V705),"",OFFSET('Smelter Look-up'!$C$4,$V705-4,0)&amp;"")</f>
        <v>RFH Yancheng Jinye New Material Technology Co., Ltd.</v>
      </c>
      <c r="S705" s="181" t="str">
        <f t="shared" ca="1" si="101"/>
        <v>CN</v>
      </c>
      <c r="T705" s="181" t="str">
        <f ca="1">IF(B705="","",IF(ISERROR(MATCH($J705,SorP!$B$1:$B$6226,0)),"",INDIRECT("'SorP'!$A$"&amp;MATCH($S705&amp;$J705,SorP!C:C,0))))</f>
        <v>CN-JS</v>
      </c>
      <c r="U705" s="201"/>
      <c r="V705" s="226">
        <f>IF(C705="",NA(),IF(OR(C705="Smelter not listed",C705="Smelter not yet identified"),MATCH($B705&amp;$D705,'Smelter Look-up'!$J:$J,0),MATCH($B705&amp;$C705,'Smelter Look-up'!$J:$J,0)))</f>
        <v>378</v>
      </c>
      <c r="X705" s="227">
        <f t="shared" si="102"/>
        <v>0</v>
      </c>
      <c r="AB705" s="228" t="str">
        <f t="shared" si="103"/>
        <v>TantalumRFH Yancheng Jinye New Material Technology Co., Ltd.</v>
      </c>
    </row>
    <row r="706" spans="1:28" s="227" customFormat="1" ht="94.5">
      <c r="A706" s="301" t="s">
        <v>754</v>
      </c>
      <c r="B706" s="293" t="s">
        <v>1121</v>
      </c>
      <c r="C706" s="294" t="s">
        <v>1366</v>
      </c>
      <c r="D706" s="295" t="s">
        <v>1366</v>
      </c>
      <c r="E706" s="293" t="s">
        <v>873</v>
      </c>
      <c r="F706" s="293" t="s">
        <v>754</v>
      </c>
      <c r="G706" s="293" t="s">
        <v>13217</v>
      </c>
      <c r="H706" s="296" t="s">
        <v>15855</v>
      </c>
      <c r="I706" s="297" t="s">
        <v>1721</v>
      </c>
      <c r="J706" s="297" t="s">
        <v>9986</v>
      </c>
      <c r="K706" s="298" t="s">
        <v>15855</v>
      </c>
      <c r="L706" s="298" t="s">
        <v>15855</v>
      </c>
      <c r="M706" s="298" t="s">
        <v>15855</v>
      </c>
      <c r="N706" s="298" t="s">
        <v>15855</v>
      </c>
      <c r="O706" s="298" t="s">
        <v>15855</v>
      </c>
      <c r="P706" s="299" t="s">
        <v>15857</v>
      </c>
      <c r="Q706" s="300" t="s">
        <v>15855</v>
      </c>
      <c r="R706" s="182" t="str">
        <f ca="1">IF(ISERROR($V706),"",OFFSET('Smelter Look-up'!$C$4,$V706-4,0)&amp;"")</f>
        <v>Solikamsk Magnesium Works OAO</v>
      </c>
      <c r="S706" s="181" t="str">
        <f t="shared" ca="1" si="101"/>
        <v>RU</v>
      </c>
      <c r="T706" s="181" t="str">
        <f ca="1">IF(B706="","",IF(ISERROR(MATCH($J706,SorP!$B$1:$B$6226,0)),"",INDIRECT("'SorP'!$A$"&amp;MATCH($S706&amp;$J706,SorP!C:C,0))))</f>
        <v>RU-PER</v>
      </c>
      <c r="U706" s="201"/>
      <c r="V706" s="226">
        <f>IF(C706="",NA(),IF(OR(C706="Smelter not listed",C706="Smelter not yet identified"),MATCH($B706&amp;$D706,'Smelter Look-up'!$J:$J,0),MATCH($B706&amp;$C706,'Smelter Look-up'!$J:$J,0)))</f>
        <v>380</v>
      </c>
      <c r="X706" s="227">
        <f t="shared" si="102"/>
        <v>0</v>
      </c>
      <c r="AB706" s="228" t="str">
        <f t="shared" si="103"/>
        <v>TantalumSolikamsk Magnesium Works OAO</v>
      </c>
    </row>
    <row r="707" spans="1:28" s="227" customFormat="1" ht="94.5">
      <c r="A707" s="301" t="s">
        <v>754</v>
      </c>
      <c r="B707" s="293" t="s">
        <v>1121</v>
      </c>
      <c r="C707" s="294" t="s">
        <v>1366</v>
      </c>
      <c r="D707" s="295" t="s">
        <v>1366</v>
      </c>
      <c r="E707" s="293" t="s">
        <v>873</v>
      </c>
      <c r="F707" s="293" t="s">
        <v>754</v>
      </c>
      <c r="G707" s="293" t="s">
        <v>13217</v>
      </c>
      <c r="H707" s="296" t="s">
        <v>15855</v>
      </c>
      <c r="I707" s="297" t="s">
        <v>1721</v>
      </c>
      <c r="J707" s="297" t="s">
        <v>9986</v>
      </c>
      <c r="K707" s="298" t="s">
        <v>15855</v>
      </c>
      <c r="L707" s="298" t="s">
        <v>15855</v>
      </c>
      <c r="M707" s="298" t="s">
        <v>15855</v>
      </c>
      <c r="N707" s="298" t="s">
        <v>15855</v>
      </c>
      <c r="O707" s="298" t="s">
        <v>15858</v>
      </c>
      <c r="P707" s="299" t="s">
        <v>15857</v>
      </c>
      <c r="Q707" s="300" t="s">
        <v>15855</v>
      </c>
      <c r="R707" s="182" t="str">
        <f ca="1">IF(ISERROR($V707),"",OFFSET('Smelter Look-up'!$C$4,$V707-4,0)&amp;"")</f>
        <v>Solikamsk Magnesium Works OAO</v>
      </c>
      <c r="S707" s="181" t="str">
        <f t="shared" ca="1" si="101"/>
        <v>RU</v>
      </c>
      <c r="T707" s="181" t="str">
        <f ca="1">IF(B707="","",IF(ISERROR(MATCH($J707,SorP!$B$1:$B$6226,0)),"",INDIRECT("'SorP'!$A$"&amp;MATCH($S707&amp;$J707,SorP!C:C,0))))</f>
        <v>RU-PER</v>
      </c>
      <c r="U707" s="201"/>
      <c r="V707" s="226">
        <f>IF(C707="",NA(),IF(OR(C707="Smelter not listed",C707="Smelter not yet identified"),MATCH($B707&amp;$D707,'Smelter Look-up'!$J:$J,0),MATCH($B707&amp;$C707,'Smelter Look-up'!$J:$J,0)))</f>
        <v>380</v>
      </c>
      <c r="X707" s="227">
        <f t="shared" si="102"/>
        <v>0</v>
      </c>
      <c r="AB707" s="228" t="str">
        <f t="shared" si="103"/>
        <v>TantalumSolikamsk Magnesium Works OAO</v>
      </c>
    </row>
    <row r="708" spans="1:28" s="227" customFormat="1" ht="94.5">
      <c r="A708" s="301" t="s">
        <v>754</v>
      </c>
      <c r="B708" s="293" t="s">
        <v>1121</v>
      </c>
      <c r="C708" s="294" t="s">
        <v>1366</v>
      </c>
      <c r="D708" s="295" t="s">
        <v>1366</v>
      </c>
      <c r="E708" s="293" t="s">
        <v>873</v>
      </c>
      <c r="F708" s="293" t="s">
        <v>754</v>
      </c>
      <c r="G708" s="293" t="s">
        <v>13217</v>
      </c>
      <c r="H708" s="296" t="s">
        <v>15855</v>
      </c>
      <c r="I708" s="297" t="s">
        <v>1721</v>
      </c>
      <c r="J708" s="297" t="s">
        <v>9986</v>
      </c>
      <c r="K708" s="298" t="s">
        <v>16485</v>
      </c>
      <c r="L708" s="298" t="s">
        <v>16486</v>
      </c>
      <c r="M708" s="298" t="s">
        <v>15869</v>
      </c>
      <c r="N708" s="298" t="s">
        <v>15862</v>
      </c>
      <c r="O708" s="298" t="s">
        <v>16456</v>
      </c>
      <c r="P708" s="299" t="s">
        <v>15857</v>
      </c>
      <c r="Q708" s="300" t="s">
        <v>15855</v>
      </c>
      <c r="R708" s="182" t="str">
        <f ca="1">IF(ISERROR($V708),"",OFFSET('Smelter Look-up'!$C$4,$V708-4,0)&amp;"")</f>
        <v>Solikamsk Magnesium Works OAO</v>
      </c>
      <c r="S708" s="181" t="str">
        <f t="shared" ca="1" si="101"/>
        <v>RU</v>
      </c>
      <c r="T708" s="181" t="str">
        <f ca="1">IF(B708="","",IF(ISERROR(MATCH($J708,SorP!$B$1:$B$6226,0)),"",INDIRECT("'SorP'!$A$"&amp;MATCH($S708&amp;$J708,SorP!C:C,0))))</f>
        <v>RU-PER</v>
      </c>
      <c r="U708" s="201"/>
      <c r="V708" s="226">
        <f>IF(C708="",NA(),IF(OR(C708="Smelter not listed",C708="Smelter not yet identified"),MATCH($B708&amp;$D708,'Smelter Look-up'!$J:$J,0),MATCH($B708&amp;$C708,'Smelter Look-up'!$J:$J,0)))</f>
        <v>380</v>
      </c>
      <c r="X708" s="227">
        <f t="shared" si="102"/>
        <v>0</v>
      </c>
      <c r="AB708" s="228" t="str">
        <f t="shared" si="103"/>
        <v>TantalumSolikamsk Magnesium Works OAO</v>
      </c>
    </row>
    <row r="709" spans="1:28" s="227" customFormat="1" ht="54">
      <c r="A709" s="301" t="s">
        <v>755</v>
      </c>
      <c r="B709" s="293" t="s">
        <v>1121</v>
      </c>
      <c r="C709" s="294" t="s">
        <v>2428</v>
      </c>
      <c r="D709" s="295" t="s">
        <v>2428</v>
      </c>
      <c r="E709" s="293" t="s">
        <v>1098</v>
      </c>
      <c r="F709" s="293" t="s">
        <v>755</v>
      </c>
      <c r="G709" s="293" t="s">
        <v>13217</v>
      </c>
      <c r="H709" s="296" t="s">
        <v>15855</v>
      </c>
      <c r="I709" s="297" t="s">
        <v>1722</v>
      </c>
      <c r="J709" s="297" t="s">
        <v>1544</v>
      </c>
      <c r="K709" s="298" t="s">
        <v>15855</v>
      </c>
      <c r="L709" s="298" t="s">
        <v>15855</v>
      </c>
      <c r="M709" s="298" t="s">
        <v>15855</v>
      </c>
      <c r="N709" s="298" t="s">
        <v>15855</v>
      </c>
      <c r="O709" s="298" t="s">
        <v>15855</v>
      </c>
      <c r="P709" s="299" t="s">
        <v>15857</v>
      </c>
      <c r="Q709" s="300" t="s">
        <v>15855</v>
      </c>
      <c r="R709" s="182" t="str">
        <f ca="1">IF(ISERROR($V709),"",OFFSET('Smelter Look-up'!$C$4,$V709-4,0)&amp;"")</f>
        <v>Taki Chemical Co., Ltd.</v>
      </c>
      <c r="S709" s="181" t="str">
        <f t="shared" ca="1" si="101"/>
        <v>JP</v>
      </c>
      <c r="T709" s="181" t="str">
        <f ca="1">IF(B709="","",IF(ISERROR(MATCH($J709,SorP!$B$1:$B$6226,0)),"",INDIRECT("'SorP'!$A$"&amp;MATCH($S709&amp;$J709,SorP!C:C,0))))</f>
        <v>JP-28</v>
      </c>
      <c r="U709" s="201"/>
      <c r="V709" s="226">
        <f>IF(C709="",NA(),IF(OR(C709="Smelter not listed",C709="Smelter not yet identified"),MATCH($B709&amp;$D709,'Smelter Look-up'!$J:$J,0),MATCH($B709&amp;$C709,'Smelter Look-up'!$J:$J,0)))</f>
        <v>382</v>
      </c>
      <c r="X709" s="227">
        <f t="shared" si="102"/>
        <v>0</v>
      </c>
      <c r="AB709" s="228" t="str">
        <f t="shared" si="103"/>
        <v>TantalumTaki Chemical Co., Ltd.</v>
      </c>
    </row>
    <row r="710" spans="1:28" s="227" customFormat="1" ht="54">
      <c r="A710" s="301" t="s">
        <v>755</v>
      </c>
      <c r="B710" s="293" t="s">
        <v>1121</v>
      </c>
      <c r="C710" s="294" t="s">
        <v>2428</v>
      </c>
      <c r="D710" s="295" t="s">
        <v>2428</v>
      </c>
      <c r="E710" s="293" t="s">
        <v>1098</v>
      </c>
      <c r="F710" s="293" t="s">
        <v>755</v>
      </c>
      <c r="G710" s="293" t="s">
        <v>13217</v>
      </c>
      <c r="H710" s="296" t="s">
        <v>15855</v>
      </c>
      <c r="I710" s="297" t="s">
        <v>1722</v>
      </c>
      <c r="J710" s="297" t="s">
        <v>1544</v>
      </c>
      <c r="K710" s="298" t="s">
        <v>15855</v>
      </c>
      <c r="L710" s="298" t="s">
        <v>15855</v>
      </c>
      <c r="M710" s="298" t="s">
        <v>15855</v>
      </c>
      <c r="N710" s="298" t="s">
        <v>15855</v>
      </c>
      <c r="O710" s="298" t="s">
        <v>16465</v>
      </c>
      <c r="P710" s="299" t="s">
        <v>15857</v>
      </c>
      <c r="Q710" s="300" t="s">
        <v>16355</v>
      </c>
      <c r="R710" s="182" t="str">
        <f ca="1">IF(ISERROR($V710),"",OFFSET('Smelter Look-up'!$C$4,$V710-4,0)&amp;"")</f>
        <v>Taki Chemical Co., Ltd.</v>
      </c>
      <c r="S710" s="181" t="str">
        <f t="shared" ca="1" si="101"/>
        <v>JP</v>
      </c>
      <c r="T710" s="181" t="str">
        <f ca="1">IF(B710="","",IF(ISERROR(MATCH($J710,SorP!$B$1:$B$6226,0)),"",INDIRECT("'SorP'!$A$"&amp;MATCH($S710&amp;$J710,SorP!C:C,0))))</f>
        <v>JP-28</v>
      </c>
      <c r="U710" s="201"/>
      <c r="V710" s="226">
        <f>IF(C710="",NA(),IF(OR(C710="Smelter not listed",C710="Smelter not yet identified"),MATCH($B710&amp;$D710,'Smelter Look-up'!$J:$J,0),MATCH($B710&amp;$C710,'Smelter Look-up'!$J:$J,0)))</f>
        <v>382</v>
      </c>
      <c r="X710" s="227">
        <f t="shared" si="102"/>
        <v>0</v>
      </c>
      <c r="AB710" s="228" t="str">
        <f t="shared" si="103"/>
        <v>TantalumTaki Chemical Co., Ltd.</v>
      </c>
    </row>
    <row r="711" spans="1:28" s="227" customFormat="1" ht="54">
      <c r="A711" s="301" t="s">
        <v>755</v>
      </c>
      <c r="B711" s="293" t="s">
        <v>1121</v>
      </c>
      <c r="C711" s="294" t="s">
        <v>2428</v>
      </c>
      <c r="D711" s="295" t="s">
        <v>2428</v>
      </c>
      <c r="E711" s="293" t="s">
        <v>1098</v>
      </c>
      <c r="F711" s="293" t="s">
        <v>755</v>
      </c>
      <c r="G711" s="293" t="s">
        <v>13217</v>
      </c>
      <c r="H711" s="296" t="s">
        <v>15855</v>
      </c>
      <c r="I711" s="297" t="s">
        <v>1722</v>
      </c>
      <c r="J711" s="297" t="s">
        <v>1544</v>
      </c>
      <c r="K711" s="298" t="s">
        <v>15855</v>
      </c>
      <c r="L711" s="298" t="s">
        <v>15855</v>
      </c>
      <c r="M711" s="298" t="s">
        <v>15855</v>
      </c>
      <c r="N711" s="298" t="s">
        <v>15855</v>
      </c>
      <c r="O711" s="298" t="s">
        <v>15925</v>
      </c>
      <c r="P711" s="299" t="s">
        <v>15857</v>
      </c>
      <c r="Q711" s="300" t="s">
        <v>15855</v>
      </c>
      <c r="R711" s="182" t="str">
        <f ca="1">IF(ISERROR($V711),"",OFFSET('Smelter Look-up'!$C$4,$V711-4,0)&amp;"")</f>
        <v>Taki Chemical Co., Ltd.</v>
      </c>
      <c r="S711" s="181" t="str">
        <f t="shared" ca="1" si="101"/>
        <v>JP</v>
      </c>
      <c r="T711" s="181" t="str">
        <f ca="1">IF(B711="","",IF(ISERROR(MATCH($J711,SorP!$B$1:$B$6226,0)),"",INDIRECT("'SorP'!$A$"&amp;MATCH($S711&amp;$J711,SorP!C:C,0))))</f>
        <v>JP-28</v>
      </c>
      <c r="U711" s="201"/>
      <c r="V711" s="226">
        <f>IF(C711="",NA(),IF(OR(C711="Smelter not listed",C711="Smelter not yet identified"),MATCH($B711&amp;$D711,'Smelter Look-up'!$J:$J,0),MATCH($B711&amp;$C711,'Smelter Look-up'!$J:$J,0)))</f>
        <v>382</v>
      </c>
      <c r="X711" s="227">
        <f t="shared" si="102"/>
        <v>0</v>
      </c>
      <c r="AB711" s="228" t="str">
        <f t="shared" si="103"/>
        <v>TantalumTaki Chemical Co., Ltd.</v>
      </c>
    </row>
    <row r="712" spans="1:28" s="227" customFormat="1" ht="54">
      <c r="A712" s="301" t="s">
        <v>755</v>
      </c>
      <c r="B712" s="293" t="s">
        <v>1121</v>
      </c>
      <c r="C712" s="294" t="s">
        <v>2428</v>
      </c>
      <c r="D712" s="295" t="s">
        <v>2428</v>
      </c>
      <c r="E712" s="293" t="s">
        <v>1098</v>
      </c>
      <c r="F712" s="293" t="s">
        <v>755</v>
      </c>
      <c r="G712" s="293" t="s">
        <v>13217</v>
      </c>
      <c r="H712" s="296" t="s">
        <v>15855</v>
      </c>
      <c r="I712" s="297" t="s">
        <v>1722</v>
      </c>
      <c r="J712" s="297" t="s">
        <v>1544</v>
      </c>
      <c r="K712" s="298" t="s">
        <v>16487</v>
      </c>
      <c r="L712" s="298" t="s">
        <v>16488</v>
      </c>
      <c r="M712" s="298" t="s">
        <v>16489</v>
      </c>
      <c r="N712" s="298" t="s">
        <v>15876</v>
      </c>
      <c r="O712" s="298" t="s">
        <v>15879</v>
      </c>
      <c r="P712" s="299" t="s">
        <v>15875</v>
      </c>
      <c r="Q712" s="300" t="s">
        <v>15855</v>
      </c>
      <c r="R712" s="182" t="str">
        <f ca="1">IF(ISERROR($V712),"",OFFSET('Smelter Look-up'!$C$4,$V712-4,0)&amp;"")</f>
        <v>Taki Chemical Co., Ltd.</v>
      </c>
      <c r="S712" s="181" t="str">
        <f t="shared" ca="1" si="101"/>
        <v>JP</v>
      </c>
      <c r="T712" s="181" t="str">
        <f ca="1">IF(B712="","",IF(ISERROR(MATCH($J712,SorP!$B$1:$B$6226,0)),"",INDIRECT("'SorP'!$A$"&amp;MATCH($S712&amp;$J712,SorP!C:C,0))))</f>
        <v>JP-28</v>
      </c>
      <c r="U712" s="201"/>
      <c r="V712" s="226">
        <f>IF(C712="",NA(),IF(OR(C712="Smelter not listed",C712="Smelter not yet identified"),MATCH($B712&amp;$D712,'Smelter Look-up'!$J:$J,0),MATCH($B712&amp;$C712,'Smelter Look-up'!$J:$J,0)))</f>
        <v>382</v>
      </c>
      <c r="X712" s="227">
        <f t="shared" si="102"/>
        <v>0</v>
      </c>
      <c r="AB712" s="228" t="str">
        <f t="shared" si="103"/>
        <v>TantalumTaki Chemical Co., Ltd.</v>
      </c>
    </row>
    <row r="713" spans="1:28" s="227" customFormat="1" ht="54">
      <c r="A713" s="301" t="s">
        <v>755</v>
      </c>
      <c r="B713" s="293" t="s">
        <v>1121</v>
      </c>
      <c r="C713" s="294" t="s">
        <v>2428</v>
      </c>
      <c r="D713" s="295" t="s">
        <v>2428</v>
      </c>
      <c r="E713" s="293" t="s">
        <v>1098</v>
      </c>
      <c r="F713" s="293" t="s">
        <v>755</v>
      </c>
      <c r="G713" s="293" t="s">
        <v>13217</v>
      </c>
      <c r="H713" s="296" t="s">
        <v>16490</v>
      </c>
      <c r="I713" s="297" t="s">
        <v>1722</v>
      </c>
      <c r="J713" s="297" t="s">
        <v>1544</v>
      </c>
      <c r="K713" s="298" t="s">
        <v>16487</v>
      </c>
      <c r="L713" s="298" t="s">
        <v>16488</v>
      </c>
      <c r="M713" s="298" t="s">
        <v>16343</v>
      </c>
      <c r="N713" s="298" t="s">
        <v>15876</v>
      </c>
      <c r="O713" s="298" t="s">
        <v>16478</v>
      </c>
      <c r="P713" s="299" t="s">
        <v>15875</v>
      </c>
      <c r="Q713" s="300" t="s">
        <v>16345</v>
      </c>
      <c r="R713" s="182" t="str">
        <f ca="1">IF(ISERROR($V713),"",OFFSET('Smelter Look-up'!$C$4,$V713-4,0)&amp;"")</f>
        <v>Taki Chemical Co., Ltd.</v>
      </c>
      <c r="S713" s="181" t="str">
        <f t="shared" ca="1" si="101"/>
        <v>JP</v>
      </c>
      <c r="T713" s="181" t="str">
        <f ca="1">IF(B713="","",IF(ISERROR(MATCH($J713,SorP!$B$1:$B$6226,0)),"",INDIRECT("'SorP'!$A$"&amp;MATCH($S713&amp;$J713,SorP!C:C,0))))</f>
        <v>JP-28</v>
      </c>
      <c r="U713" s="201"/>
      <c r="V713" s="226">
        <f>IF(C713="",NA(),IF(OR(C713="Smelter not listed",C713="Smelter not yet identified"),MATCH($B713&amp;$D713,'Smelter Look-up'!$J:$J,0),MATCH($B713&amp;$C713,'Smelter Look-up'!$J:$J,0)))</f>
        <v>382</v>
      </c>
      <c r="X713" s="227">
        <f t="shared" si="102"/>
        <v>0</v>
      </c>
      <c r="AB713" s="228" t="str">
        <f t="shared" si="103"/>
        <v>TantalumTaki Chemical Co., Ltd.</v>
      </c>
    </row>
    <row r="714" spans="1:28" s="227" customFormat="1" ht="54">
      <c r="A714" s="301" t="s">
        <v>1404</v>
      </c>
      <c r="B714" s="293" t="s">
        <v>1121</v>
      </c>
      <c r="C714" s="294" t="s">
        <v>15048</v>
      </c>
      <c r="D714" s="295" t="s">
        <v>15048</v>
      </c>
      <c r="E714" s="293" t="s">
        <v>878</v>
      </c>
      <c r="F714" s="293" t="s">
        <v>1404</v>
      </c>
      <c r="G714" s="293" t="s">
        <v>13217</v>
      </c>
      <c r="H714" s="296" t="s">
        <v>15855</v>
      </c>
      <c r="I714" s="297" t="s">
        <v>1734</v>
      </c>
      <c r="J714" s="297" t="s">
        <v>1735</v>
      </c>
      <c r="K714" s="298" t="s">
        <v>15855</v>
      </c>
      <c r="L714" s="298" t="s">
        <v>15855</v>
      </c>
      <c r="M714" s="298" t="s">
        <v>15855</v>
      </c>
      <c r="N714" s="298" t="s">
        <v>15855</v>
      </c>
      <c r="O714" s="298" t="s">
        <v>15855</v>
      </c>
      <c r="P714" s="299" t="s">
        <v>15857</v>
      </c>
      <c r="Q714" s="300" t="s">
        <v>15855</v>
      </c>
      <c r="R714" s="182" t="str">
        <f ca="1">IF(ISERROR($V714),"",OFFSET('Smelter Look-up'!$C$4,$V714-4,0)&amp;"")</f>
        <v>TANIOBIS Co., Ltd.</v>
      </c>
      <c r="S714" s="181" t="str">
        <f t="shared" ca="1" si="101"/>
        <v>TH</v>
      </c>
      <c r="T714" s="181" t="str">
        <f ca="1">IF(B714="","",IF(ISERROR(MATCH($J714,SorP!$B$1:$B$6226,0)),"",INDIRECT("'SorP'!$A$"&amp;MATCH($S714&amp;$J714,SorP!C:C,0))))</f>
        <v>TH-21</v>
      </c>
      <c r="U714" s="201"/>
      <c r="V714" s="226">
        <f>IF(C714="",NA(),IF(OR(C714="Smelter not listed",C714="Smelter not yet identified"),MATCH($B714&amp;$D714,'Smelter Look-up'!$J:$J,0),MATCH($B714&amp;$C714,'Smelter Look-up'!$J:$J,0)))</f>
        <v>384</v>
      </c>
      <c r="X714" s="227">
        <f t="shared" si="102"/>
        <v>0</v>
      </c>
      <c r="AB714" s="228" t="str">
        <f t="shared" si="103"/>
        <v>TantalumTANIOBIS Co., Ltd.</v>
      </c>
    </row>
    <row r="715" spans="1:28" s="227" customFormat="1" ht="67.5">
      <c r="A715" s="301" t="s">
        <v>1404</v>
      </c>
      <c r="B715" s="293" t="s">
        <v>1121</v>
      </c>
      <c r="C715" s="294" t="s">
        <v>15048</v>
      </c>
      <c r="D715" s="295" t="s">
        <v>15048</v>
      </c>
      <c r="E715" s="293" t="s">
        <v>878</v>
      </c>
      <c r="F715" s="293" t="s">
        <v>1404</v>
      </c>
      <c r="G715" s="293" t="s">
        <v>13217</v>
      </c>
      <c r="H715" s="296" t="s">
        <v>15855</v>
      </c>
      <c r="I715" s="297" t="s">
        <v>1734</v>
      </c>
      <c r="J715" s="297" t="s">
        <v>1735</v>
      </c>
      <c r="K715" s="298" t="s">
        <v>15855</v>
      </c>
      <c r="L715" s="298" t="s">
        <v>15855</v>
      </c>
      <c r="M715" s="298" t="s">
        <v>15855</v>
      </c>
      <c r="N715" s="298" t="s">
        <v>15855</v>
      </c>
      <c r="O715" s="298" t="s">
        <v>16401</v>
      </c>
      <c r="P715" s="299" t="s">
        <v>15857</v>
      </c>
      <c r="Q715" s="300" t="s">
        <v>15855</v>
      </c>
      <c r="R715" s="182" t="str">
        <f ca="1">IF(ISERROR($V715),"",OFFSET('Smelter Look-up'!$C$4,$V715-4,0)&amp;"")</f>
        <v>TANIOBIS Co., Ltd.</v>
      </c>
      <c r="S715" s="181" t="str">
        <f t="shared" ca="1" si="101"/>
        <v>TH</v>
      </c>
      <c r="T715" s="181" t="str">
        <f ca="1">IF(B715="","",IF(ISERROR(MATCH($J715,SorP!$B$1:$B$6226,0)),"",INDIRECT("'SorP'!$A$"&amp;MATCH($S715&amp;$J715,SorP!C:C,0))))</f>
        <v>TH-21</v>
      </c>
      <c r="U715" s="201"/>
      <c r="V715" s="226">
        <f>IF(C715="",NA(),IF(OR(C715="Smelter not listed",C715="Smelter not yet identified"),MATCH($B715&amp;$D715,'Smelter Look-up'!$J:$J,0),MATCH($B715&amp;$C715,'Smelter Look-up'!$J:$J,0)))</f>
        <v>384</v>
      </c>
      <c r="X715" s="227">
        <f t="shared" si="102"/>
        <v>0</v>
      </c>
      <c r="AB715" s="228" t="str">
        <f t="shared" si="103"/>
        <v>TantalumTANIOBIS Co., Ltd.</v>
      </c>
    </row>
    <row r="716" spans="1:28" s="227" customFormat="1" ht="67.5">
      <c r="A716" s="301" t="s">
        <v>1404</v>
      </c>
      <c r="B716" s="293" t="s">
        <v>1121</v>
      </c>
      <c r="C716" s="294" t="s">
        <v>15048</v>
      </c>
      <c r="D716" s="295" t="s">
        <v>15048</v>
      </c>
      <c r="E716" s="293" t="s">
        <v>878</v>
      </c>
      <c r="F716" s="293" t="s">
        <v>1404</v>
      </c>
      <c r="G716" s="293" t="s">
        <v>13217</v>
      </c>
      <c r="H716" s="296" t="s">
        <v>15855</v>
      </c>
      <c r="I716" s="297" t="s">
        <v>1734</v>
      </c>
      <c r="J716" s="297" t="s">
        <v>1735</v>
      </c>
      <c r="K716" s="298" t="s">
        <v>16384</v>
      </c>
      <c r="L716" s="298" t="s">
        <v>16491</v>
      </c>
      <c r="M716" s="298" t="s">
        <v>15869</v>
      </c>
      <c r="N716" s="298" t="s">
        <v>16492</v>
      </c>
      <c r="O716" s="298" t="s">
        <v>16493</v>
      </c>
      <c r="P716" s="299" t="s">
        <v>15857</v>
      </c>
      <c r="Q716" s="300" t="s">
        <v>15855</v>
      </c>
      <c r="R716" s="182" t="str">
        <f ca="1">IF(ISERROR($V716),"",OFFSET('Smelter Look-up'!$C$4,$V716-4,0)&amp;"")</f>
        <v>TANIOBIS Co., Ltd.</v>
      </c>
      <c r="S716" s="181" t="str">
        <f t="shared" ca="1" si="101"/>
        <v>TH</v>
      </c>
      <c r="T716" s="181" t="str">
        <f ca="1">IF(B716="","",IF(ISERROR(MATCH($J716,SorP!$B$1:$B$6226,0)),"",INDIRECT("'SorP'!$A$"&amp;MATCH($S716&amp;$J716,SorP!C:C,0))))</f>
        <v>TH-21</v>
      </c>
      <c r="U716" s="201"/>
      <c r="V716" s="226">
        <f>IF(C716="",NA(),IF(OR(C716="Smelter not listed",C716="Smelter not yet identified"),MATCH($B716&amp;$D716,'Smelter Look-up'!$J:$J,0),MATCH($B716&amp;$C716,'Smelter Look-up'!$J:$J,0)))</f>
        <v>384</v>
      </c>
      <c r="X716" s="227">
        <f t="shared" si="102"/>
        <v>0</v>
      </c>
      <c r="AB716" s="228" t="str">
        <f t="shared" si="103"/>
        <v>TantalumTANIOBIS Co., Ltd.</v>
      </c>
    </row>
    <row r="717" spans="1:28" s="227" customFormat="1" ht="54">
      <c r="A717" s="301" t="s">
        <v>1404</v>
      </c>
      <c r="B717" s="293" t="s">
        <v>1121</v>
      </c>
      <c r="C717" s="294" t="s">
        <v>15048</v>
      </c>
      <c r="D717" s="295" t="s">
        <v>15048</v>
      </c>
      <c r="E717" s="293" t="s">
        <v>878</v>
      </c>
      <c r="F717" s="293" t="s">
        <v>1404</v>
      </c>
      <c r="G717" s="293" t="s">
        <v>13217</v>
      </c>
      <c r="H717" s="302" t="s">
        <v>15880</v>
      </c>
      <c r="I717" s="297" t="s">
        <v>1734</v>
      </c>
      <c r="J717" s="297" t="s">
        <v>1735</v>
      </c>
      <c r="K717" s="298" t="s">
        <v>15855</v>
      </c>
      <c r="L717" s="298" t="s">
        <v>15855</v>
      </c>
      <c r="M717" s="298" t="s">
        <v>15855</v>
      </c>
      <c r="N717" s="298" t="s">
        <v>15855</v>
      </c>
      <c r="O717" s="298" t="s">
        <v>15855</v>
      </c>
      <c r="P717" s="299" t="s">
        <v>15857</v>
      </c>
      <c r="Q717" s="300" t="s">
        <v>15855</v>
      </c>
      <c r="R717" s="182" t="str">
        <f ca="1">IF(ISERROR($V717),"",OFFSET('Smelter Look-up'!$C$4,$V717-4,0)&amp;"")</f>
        <v>TANIOBIS Co., Ltd.</v>
      </c>
      <c r="S717" s="181" t="str">
        <f t="shared" ca="1" si="101"/>
        <v>TH</v>
      </c>
      <c r="T717" s="181" t="str">
        <f ca="1">IF(B717="","",IF(ISERROR(MATCH($J717,SorP!$B$1:$B$6226,0)),"",INDIRECT("'SorP'!$A$"&amp;MATCH($S717&amp;$J717,SorP!C:C,0))))</f>
        <v>TH-21</v>
      </c>
      <c r="U717" s="201"/>
      <c r="V717" s="226">
        <f>IF(C717="",NA(),IF(OR(C717="Smelter not listed",C717="Smelter not yet identified"),MATCH($B717&amp;$D717,'Smelter Look-up'!$J:$J,0),MATCH($B717&amp;$C717,'Smelter Look-up'!$J:$J,0)))</f>
        <v>384</v>
      </c>
      <c r="X717" s="227">
        <f t="shared" si="102"/>
        <v>0</v>
      </c>
      <c r="AB717" s="228" t="str">
        <f t="shared" si="103"/>
        <v>TantalumTANIOBIS Co., Ltd.</v>
      </c>
    </row>
    <row r="718" spans="1:28" s="227" customFormat="1" ht="67.5">
      <c r="A718" s="301" t="s">
        <v>1404</v>
      </c>
      <c r="B718" s="293" t="s">
        <v>1121</v>
      </c>
      <c r="C718" s="294" t="s">
        <v>15048</v>
      </c>
      <c r="D718" s="295" t="s">
        <v>15048</v>
      </c>
      <c r="E718" s="293" t="s">
        <v>878</v>
      </c>
      <c r="F718" s="293" t="s">
        <v>1404</v>
      </c>
      <c r="G718" s="293" t="s">
        <v>13217</v>
      </c>
      <c r="H718" s="302" t="s">
        <v>15880</v>
      </c>
      <c r="I718" s="297" t="s">
        <v>1734</v>
      </c>
      <c r="J718" s="297" t="s">
        <v>1735</v>
      </c>
      <c r="K718" s="298" t="s">
        <v>16384</v>
      </c>
      <c r="L718" s="298" t="s">
        <v>16494</v>
      </c>
      <c r="M718" s="298" t="s">
        <v>15855</v>
      </c>
      <c r="N718" s="298" t="s">
        <v>16495</v>
      </c>
      <c r="O718" s="298" t="s">
        <v>16496</v>
      </c>
      <c r="P718" s="299" t="s">
        <v>15857</v>
      </c>
      <c r="Q718" s="300" t="s">
        <v>15855</v>
      </c>
      <c r="R718" s="182" t="str">
        <f ca="1">IF(ISERROR($V718),"",OFFSET('Smelter Look-up'!$C$4,$V718-4,0)&amp;"")</f>
        <v>TANIOBIS Co., Ltd.</v>
      </c>
      <c r="S718" s="181" t="str">
        <f t="shared" ca="1" si="101"/>
        <v>TH</v>
      </c>
      <c r="T718" s="181" t="str">
        <f ca="1">IF(B718="","",IF(ISERROR(MATCH($J718,SorP!$B$1:$B$6226,0)),"",INDIRECT("'SorP'!$A$"&amp;MATCH($S718&amp;$J718,SorP!C:C,0))))</f>
        <v>TH-21</v>
      </c>
      <c r="U718" s="201"/>
      <c r="V718" s="226">
        <f>IF(C718="",NA(),IF(OR(C718="Smelter not listed",C718="Smelter not yet identified"),MATCH($B718&amp;$D718,'Smelter Look-up'!$J:$J,0),MATCH($B718&amp;$C718,'Smelter Look-up'!$J:$J,0)))</f>
        <v>384</v>
      </c>
      <c r="X718" s="227">
        <f t="shared" si="102"/>
        <v>0</v>
      </c>
      <c r="AB718" s="228" t="str">
        <f t="shared" si="103"/>
        <v>TantalumTANIOBIS Co., Ltd.</v>
      </c>
    </row>
    <row r="719" spans="1:28" s="227" customFormat="1" ht="54">
      <c r="A719" s="301" t="s">
        <v>1405</v>
      </c>
      <c r="B719" s="293" t="s">
        <v>1121</v>
      </c>
      <c r="C719" s="294" t="s">
        <v>15051</v>
      </c>
      <c r="D719" s="295" t="s">
        <v>15051</v>
      </c>
      <c r="E719" s="293" t="s">
        <v>1091</v>
      </c>
      <c r="F719" s="293" t="s">
        <v>1405</v>
      </c>
      <c r="G719" s="293" t="s">
        <v>13217</v>
      </c>
      <c r="H719" s="296" t="s">
        <v>15855</v>
      </c>
      <c r="I719" s="297" t="s">
        <v>1736</v>
      </c>
      <c r="J719" s="297" t="s">
        <v>4228</v>
      </c>
      <c r="K719" s="298" t="s">
        <v>15855</v>
      </c>
      <c r="L719" s="298" t="s">
        <v>15855</v>
      </c>
      <c r="M719" s="298" t="s">
        <v>15855</v>
      </c>
      <c r="N719" s="298" t="s">
        <v>15855</v>
      </c>
      <c r="O719" s="298" t="s">
        <v>15855</v>
      </c>
      <c r="P719" s="299" t="s">
        <v>15857</v>
      </c>
      <c r="Q719" s="300" t="s">
        <v>15855</v>
      </c>
      <c r="R719" s="182" t="str">
        <f ca="1">IF(ISERROR($V719),"",OFFSET('Smelter Look-up'!$C$4,$V719-4,0)&amp;"")</f>
        <v>TANIOBIS GmbH</v>
      </c>
      <c r="S719" s="181" t="str">
        <f t="shared" ca="1" si="101"/>
        <v>DE</v>
      </c>
      <c r="T719" s="181" t="str">
        <f ca="1">IF(B719="","",IF(ISERROR(MATCH($J719,SorP!$B$1:$B$6226,0)),"",INDIRECT("'SorP'!$A$"&amp;MATCH($S719&amp;$J719,SorP!C:C,0))))</f>
        <v>DE-NI</v>
      </c>
      <c r="U719" s="201"/>
      <c r="V719" s="226">
        <f>IF(C719="",NA(),IF(OR(C719="Smelter not listed",C719="Smelter not yet identified"),MATCH($B719&amp;$D719,'Smelter Look-up'!$J:$J,0),MATCH($B719&amp;$C719,'Smelter Look-up'!$J:$J,0)))</f>
        <v>385</v>
      </c>
      <c r="X719" s="227">
        <f t="shared" si="102"/>
        <v>0</v>
      </c>
      <c r="AB719" s="228" t="str">
        <f t="shared" si="103"/>
        <v>TantalumTANIOBIS GmbH</v>
      </c>
    </row>
    <row r="720" spans="1:28" s="227" customFormat="1" ht="54">
      <c r="A720" s="301" t="s">
        <v>1405</v>
      </c>
      <c r="B720" s="293" t="s">
        <v>1121</v>
      </c>
      <c r="C720" s="294" t="s">
        <v>15051</v>
      </c>
      <c r="D720" s="295" t="s">
        <v>15051</v>
      </c>
      <c r="E720" s="293" t="s">
        <v>1091</v>
      </c>
      <c r="F720" s="293" t="s">
        <v>1405</v>
      </c>
      <c r="G720" s="293" t="s">
        <v>13217</v>
      </c>
      <c r="H720" s="296" t="s">
        <v>15855</v>
      </c>
      <c r="I720" s="297" t="s">
        <v>1736</v>
      </c>
      <c r="J720" s="297" t="s">
        <v>4228</v>
      </c>
      <c r="K720" s="298" t="s">
        <v>15855</v>
      </c>
      <c r="L720" s="298" t="s">
        <v>15855</v>
      </c>
      <c r="M720" s="298" t="s">
        <v>15855</v>
      </c>
      <c r="N720" s="298" t="s">
        <v>15855</v>
      </c>
      <c r="O720" s="298" t="s">
        <v>16354</v>
      </c>
      <c r="P720" s="299" t="s">
        <v>15857</v>
      </c>
      <c r="Q720" s="300" t="s">
        <v>16355</v>
      </c>
      <c r="R720" s="182" t="str">
        <f ca="1">IF(ISERROR($V720),"",OFFSET('Smelter Look-up'!$C$4,$V720-4,0)&amp;"")</f>
        <v>TANIOBIS GmbH</v>
      </c>
      <c r="S720" s="181" t="str">
        <f t="shared" ca="1" si="101"/>
        <v>DE</v>
      </c>
      <c r="T720" s="181" t="str">
        <f ca="1">IF(B720="","",IF(ISERROR(MATCH($J720,SorP!$B$1:$B$6226,0)),"",INDIRECT("'SorP'!$A$"&amp;MATCH($S720&amp;$J720,SorP!C:C,0))))</f>
        <v>DE-NI</v>
      </c>
      <c r="U720" s="201"/>
      <c r="V720" s="226">
        <f>IF(C720="",NA(),IF(OR(C720="Smelter not listed",C720="Smelter not yet identified"),MATCH($B720&amp;$D720,'Smelter Look-up'!$J:$J,0),MATCH($B720&amp;$C720,'Smelter Look-up'!$J:$J,0)))</f>
        <v>385</v>
      </c>
      <c r="X720" s="227">
        <f t="shared" si="102"/>
        <v>0</v>
      </c>
      <c r="AB720" s="228" t="str">
        <f t="shared" si="103"/>
        <v>TantalumTANIOBIS GmbH</v>
      </c>
    </row>
    <row r="721" spans="1:28" s="227" customFormat="1" ht="67.5">
      <c r="A721" s="301" t="s">
        <v>1405</v>
      </c>
      <c r="B721" s="293" t="s">
        <v>1121</v>
      </c>
      <c r="C721" s="294" t="s">
        <v>15051</v>
      </c>
      <c r="D721" s="295" t="s">
        <v>15051</v>
      </c>
      <c r="E721" s="293" t="s">
        <v>1091</v>
      </c>
      <c r="F721" s="293" t="s">
        <v>1405</v>
      </c>
      <c r="G721" s="293" t="s">
        <v>13217</v>
      </c>
      <c r="H721" s="296" t="s">
        <v>15855</v>
      </c>
      <c r="I721" s="297" t="s">
        <v>1736</v>
      </c>
      <c r="J721" s="297" t="s">
        <v>4228</v>
      </c>
      <c r="K721" s="298" t="s">
        <v>16384</v>
      </c>
      <c r="L721" s="298" t="s">
        <v>16491</v>
      </c>
      <c r="M721" s="298" t="s">
        <v>16497</v>
      </c>
      <c r="N721" s="298" t="s">
        <v>16492</v>
      </c>
      <c r="O721" s="298" t="s">
        <v>16498</v>
      </c>
      <c r="P721" s="299" t="s">
        <v>15857</v>
      </c>
      <c r="Q721" s="300" t="s">
        <v>15855</v>
      </c>
      <c r="R721" s="182" t="str">
        <f ca="1">IF(ISERROR($V721),"",OFFSET('Smelter Look-up'!$C$4,$V721-4,0)&amp;"")</f>
        <v>TANIOBIS GmbH</v>
      </c>
      <c r="S721" s="181" t="str">
        <f t="shared" ca="1" si="101"/>
        <v>DE</v>
      </c>
      <c r="T721" s="181" t="str">
        <f ca="1">IF(B721="","",IF(ISERROR(MATCH($J721,SorP!$B$1:$B$6226,0)),"",INDIRECT("'SorP'!$A$"&amp;MATCH($S721&amp;$J721,SorP!C:C,0))))</f>
        <v>DE-NI</v>
      </c>
      <c r="U721" s="201"/>
      <c r="V721" s="226">
        <f>IF(C721="",NA(),IF(OR(C721="Smelter not listed",C721="Smelter not yet identified"),MATCH($B721&amp;$D721,'Smelter Look-up'!$J:$J,0),MATCH($B721&amp;$C721,'Smelter Look-up'!$J:$J,0)))</f>
        <v>385</v>
      </c>
      <c r="X721" s="227">
        <f t="shared" si="102"/>
        <v>0</v>
      </c>
      <c r="AB721" s="228" t="str">
        <f t="shared" si="103"/>
        <v>TantalumTANIOBIS GmbH</v>
      </c>
    </row>
    <row r="722" spans="1:28" s="227" customFormat="1" ht="54">
      <c r="A722" s="301" t="s">
        <v>1405</v>
      </c>
      <c r="B722" s="293" t="s">
        <v>1121</v>
      </c>
      <c r="C722" s="294" t="s">
        <v>15051</v>
      </c>
      <c r="D722" s="295" t="s">
        <v>15051</v>
      </c>
      <c r="E722" s="293" t="s">
        <v>1091</v>
      </c>
      <c r="F722" s="293" t="s">
        <v>1405</v>
      </c>
      <c r="G722" s="293" t="s">
        <v>13217</v>
      </c>
      <c r="H722" s="302" t="s">
        <v>15880</v>
      </c>
      <c r="I722" s="297" t="s">
        <v>1736</v>
      </c>
      <c r="J722" s="297" t="s">
        <v>4228</v>
      </c>
      <c r="K722" s="298" t="s">
        <v>15855</v>
      </c>
      <c r="L722" s="298" t="s">
        <v>15855</v>
      </c>
      <c r="M722" s="298" t="s">
        <v>15855</v>
      </c>
      <c r="N722" s="298" t="s">
        <v>15855</v>
      </c>
      <c r="O722" s="298" t="s">
        <v>15855</v>
      </c>
      <c r="P722" s="299" t="s">
        <v>15857</v>
      </c>
      <c r="Q722" s="300" t="s">
        <v>15855</v>
      </c>
      <c r="R722" s="182" t="str">
        <f ca="1">IF(ISERROR($V722),"",OFFSET('Smelter Look-up'!$C$4,$V722-4,0)&amp;"")</f>
        <v>TANIOBIS GmbH</v>
      </c>
      <c r="S722" s="181" t="str">
        <f t="shared" ca="1" si="101"/>
        <v>DE</v>
      </c>
      <c r="T722" s="181" t="str">
        <f ca="1">IF(B722="","",IF(ISERROR(MATCH($J722,SorP!$B$1:$B$6226,0)),"",INDIRECT("'SorP'!$A$"&amp;MATCH($S722&amp;$J722,SorP!C:C,0))))</f>
        <v>DE-NI</v>
      </c>
      <c r="U722" s="201"/>
      <c r="V722" s="226">
        <f>IF(C722="",NA(),IF(OR(C722="Smelter not listed",C722="Smelter not yet identified"),MATCH($B722&amp;$D722,'Smelter Look-up'!$J:$J,0),MATCH($B722&amp;$C722,'Smelter Look-up'!$J:$J,0)))</f>
        <v>385</v>
      </c>
      <c r="X722" s="227">
        <f t="shared" si="102"/>
        <v>0</v>
      </c>
      <c r="AB722" s="228" t="str">
        <f t="shared" si="103"/>
        <v>TantalumTANIOBIS GmbH</v>
      </c>
    </row>
    <row r="723" spans="1:28" s="227" customFormat="1" ht="67.5">
      <c r="A723" s="301" t="s">
        <v>1405</v>
      </c>
      <c r="B723" s="293" t="s">
        <v>1121</v>
      </c>
      <c r="C723" s="294" t="s">
        <v>15051</v>
      </c>
      <c r="D723" s="295" t="s">
        <v>15051</v>
      </c>
      <c r="E723" s="293" t="s">
        <v>1091</v>
      </c>
      <c r="F723" s="293" t="s">
        <v>1405</v>
      </c>
      <c r="G723" s="293" t="s">
        <v>13217</v>
      </c>
      <c r="H723" s="302" t="s">
        <v>15880</v>
      </c>
      <c r="I723" s="297" t="s">
        <v>1736</v>
      </c>
      <c r="J723" s="297" t="s">
        <v>4228</v>
      </c>
      <c r="K723" s="298" t="s">
        <v>16384</v>
      </c>
      <c r="L723" s="298" t="s">
        <v>16494</v>
      </c>
      <c r="M723" s="298" t="s">
        <v>15855</v>
      </c>
      <c r="N723" s="298" t="s">
        <v>16495</v>
      </c>
      <c r="O723" s="298" t="s">
        <v>16496</v>
      </c>
      <c r="P723" s="299" t="s">
        <v>15857</v>
      </c>
      <c r="Q723" s="300" t="s">
        <v>15855</v>
      </c>
      <c r="R723" s="182" t="str">
        <f ca="1">IF(ISERROR($V723),"",OFFSET('Smelter Look-up'!$C$4,$V723-4,0)&amp;"")</f>
        <v>TANIOBIS GmbH</v>
      </c>
      <c r="S723" s="181" t="str">
        <f t="shared" ca="1" si="101"/>
        <v>DE</v>
      </c>
      <c r="T723" s="181" t="str">
        <f ca="1">IF(B723="","",IF(ISERROR(MATCH($J723,SorP!$B$1:$B$6226,0)),"",INDIRECT("'SorP'!$A$"&amp;MATCH($S723&amp;$J723,SorP!C:C,0))))</f>
        <v>DE-NI</v>
      </c>
      <c r="U723" s="201"/>
      <c r="V723" s="226">
        <f>IF(C723="",NA(),IF(OR(C723="Smelter not listed",C723="Smelter not yet identified"),MATCH($B723&amp;$D723,'Smelter Look-up'!$J:$J,0),MATCH($B723&amp;$C723,'Smelter Look-up'!$J:$J,0)))</f>
        <v>385</v>
      </c>
      <c r="X723" s="227">
        <f t="shared" si="102"/>
        <v>0</v>
      </c>
      <c r="AB723" s="228" t="str">
        <f t="shared" si="103"/>
        <v>TantalumTANIOBIS GmbH</v>
      </c>
    </row>
    <row r="724" spans="1:28" s="227" customFormat="1" ht="67.5">
      <c r="A724" s="301" t="s">
        <v>1409</v>
      </c>
      <c r="B724" s="293" t="s">
        <v>1121</v>
      </c>
      <c r="C724" s="294" t="s">
        <v>15049</v>
      </c>
      <c r="D724" s="295" t="s">
        <v>15049</v>
      </c>
      <c r="E724" s="293" t="s">
        <v>1098</v>
      </c>
      <c r="F724" s="293" t="s">
        <v>1409</v>
      </c>
      <c r="G724" s="293" t="s">
        <v>13217</v>
      </c>
      <c r="H724" s="296" t="s">
        <v>15855</v>
      </c>
      <c r="I724" s="297" t="s">
        <v>15803</v>
      </c>
      <c r="J724" s="297" t="s">
        <v>1739</v>
      </c>
      <c r="K724" s="298" t="s">
        <v>15855</v>
      </c>
      <c r="L724" s="298" t="s">
        <v>15855</v>
      </c>
      <c r="M724" s="298" t="s">
        <v>15855</v>
      </c>
      <c r="N724" s="298" t="s">
        <v>15855</v>
      </c>
      <c r="O724" s="298" t="s">
        <v>15855</v>
      </c>
      <c r="P724" s="299" t="s">
        <v>15857</v>
      </c>
      <c r="Q724" s="300" t="s">
        <v>15855</v>
      </c>
      <c r="R724" s="182" t="str">
        <f ca="1">IF(ISERROR($V724),"",OFFSET('Smelter Look-up'!$C$4,$V724-4,0)&amp;"")</f>
        <v>TANIOBIS Japan Co., Ltd.</v>
      </c>
      <c r="S724" s="181" t="str">
        <f t="shared" ca="1" si="101"/>
        <v>JP</v>
      </c>
      <c r="T724" s="181" t="str">
        <f ca="1">IF(B724="","",IF(ISERROR(MATCH($J724,SorP!$B$1:$B$6226,0)),"",INDIRECT("'SorP'!$A$"&amp;MATCH($S724&amp;$J724,SorP!C:C,0))))</f>
        <v>JP-08</v>
      </c>
      <c r="U724" s="201"/>
      <c r="V724" s="226">
        <f>IF(C724="",NA(),IF(OR(C724="Smelter not listed",C724="Smelter not yet identified"),MATCH($B724&amp;$D724,'Smelter Look-up'!$J:$J,0),MATCH($B724&amp;$C724,'Smelter Look-up'!$J:$J,0)))</f>
        <v>386</v>
      </c>
      <c r="X724" s="227">
        <f t="shared" si="102"/>
        <v>0</v>
      </c>
      <c r="AB724" s="228" t="str">
        <f t="shared" si="103"/>
        <v>TantalumTANIOBIS Japan Co., Ltd.</v>
      </c>
    </row>
    <row r="725" spans="1:28" s="227" customFormat="1" ht="67.5">
      <c r="A725" s="301" t="s">
        <v>1409</v>
      </c>
      <c r="B725" s="293" t="s">
        <v>1121</v>
      </c>
      <c r="C725" s="294" t="s">
        <v>15049</v>
      </c>
      <c r="D725" s="295" t="s">
        <v>15049</v>
      </c>
      <c r="E725" s="293" t="s">
        <v>1098</v>
      </c>
      <c r="F725" s="293" t="s">
        <v>1409</v>
      </c>
      <c r="G725" s="293" t="s">
        <v>13217</v>
      </c>
      <c r="H725" s="296" t="s">
        <v>15855</v>
      </c>
      <c r="I725" s="297" t="s">
        <v>15803</v>
      </c>
      <c r="J725" s="297" t="s">
        <v>1739</v>
      </c>
      <c r="K725" s="298" t="s">
        <v>15855</v>
      </c>
      <c r="L725" s="298" t="s">
        <v>15855</v>
      </c>
      <c r="M725" s="298" t="s">
        <v>15855</v>
      </c>
      <c r="N725" s="298" t="s">
        <v>15855</v>
      </c>
      <c r="O725" s="298" t="s">
        <v>16401</v>
      </c>
      <c r="P725" s="299" t="s">
        <v>15857</v>
      </c>
      <c r="Q725" s="300" t="s">
        <v>15855</v>
      </c>
      <c r="R725" s="182" t="str">
        <f ca="1">IF(ISERROR($V725),"",OFFSET('Smelter Look-up'!$C$4,$V725-4,0)&amp;"")</f>
        <v>TANIOBIS Japan Co., Ltd.</v>
      </c>
      <c r="S725" s="181" t="str">
        <f t="shared" ca="1" si="101"/>
        <v>JP</v>
      </c>
      <c r="T725" s="181" t="str">
        <f ca="1">IF(B725="","",IF(ISERROR(MATCH($J725,SorP!$B$1:$B$6226,0)),"",INDIRECT("'SorP'!$A$"&amp;MATCH($S725&amp;$J725,SorP!C:C,0))))</f>
        <v>JP-08</v>
      </c>
      <c r="U725" s="201"/>
      <c r="V725" s="226">
        <f>IF(C725="",NA(),IF(OR(C725="Smelter not listed",C725="Smelter not yet identified"),MATCH($B725&amp;$D725,'Smelter Look-up'!$J:$J,0),MATCH($B725&amp;$C725,'Smelter Look-up'!$J:$J,0)))</f>
        <v>386</v>
      </c>
      <c r="X725" s="227">
        <f t="shared" si="102"/>
        <v>0</v>
      </c>
      <c r="AB725" s="228" t="str">
        <f t="shared" si="103"/>
        <v>TantalumTANIOBIS Japan Co., Ltd.</v>
      </c>
    </row>
    <row r="726" spans="1:28" s="227" customFormat="1" ht="67.5">
      <c r="A726" s="301" t="s">
        <v>1409</v>
      </c>
      <c r="B726" s="293" t="s">
        <v>1121</v>
      </c>
      <c r="C726" s="294" t="s">
        <v>15049</v>
      </c>
      <c r="D726" s="295" t="s">
        <v>15049</v>
      </c>
      <c r="E726" s="293" t="s">
        <v>1098</v>
      </c>
      <c r="F726" s="293" t="s">
        <v>1409</v>
      </c>
      <c r="G726" s="293" t="s">
        <v>13217</v>
      </c>
      <c r="H726" s="296" t="s">
        <v>15855</v>
      </c>
      <c r="I726" s="297" t="s">
        <v>16499</v>
      </c>
      <c r="J726" s="297" t="s">
        <v>1739</v>
      </c>
      <c r="K726" s="298" t="s">
        <v>15855</v>
      </c>
      <c r="L726" s="298" t="s">
        <v>15855</v>
      </c>
      <c r="M726" s="298" t="s">
        <v>15855</v>
      </c>
      <c r="N726" s="298" t="s">
        <v>15855</v>
      </c>
      <c r="O726" s="298" t="s">
        <v>15855</v>
      </c>
      <c r="P726" s="299" t="s">
        <v>15857</v>
      </c>
      <c r="Q726" s="300" t="s">
        <v>15855</v>
      </c>
      <c r="R726" s="182" t="str">
        <f ca="1">IF(ISERROR($V726),"",OFFSET('Smelter Look-up'!$C$4,$V726-4,0)&amp;"")</f>
        <v>TANIOBIS Japan Co., Ltd.</v>
      </c>
      <c r="S726" s="181" t="str">
        <f t="shared" ca="1" si="101"/>
        <v>JP</v>
      </c>
      <c r="T726" s="181" t="str">
        <f ca="1">IF(B726="","",IF(ISERROR(MATCH($J726,SorP!$B$1:$B$6226,0)),"",INDIRECT("'SorP'!$A$"&amp;MATCH($S726&amp;$J726,SorP!C:C,0))))</f>
        <v>JP-08</v>
      </c>
      <c r="U726" s="201"/>
      <c r="V726" s="226">
        <f>IF(C726="",NA(),IF(OR(C726="Smelter not listed",C726="Smelter not yet identified"),MATCH($B726&amp;$D726,'Smelter Look-up'!$J:$J,0),MATCH($B726&amp;$C726,'Smelter Look-up'!$J:$J,0)))</f>
        <v>386</v>
      </c>
      <c r="X726" s="227">
        <f t="shared" si="102"/>
        <v>0</v>
      </c>
      <c r="AB726" s="228" t="str">
        <f t="shared" si="103"/>
        <v>TantalumTANIOBIS Japan Co., Ltd.</v>
      </c>
    </row>
    <row r="727" spans="1:28" s="227" customFormat="1" ht="67.5">
      <c r="A727" s="301" t="s">
        <v>1409</v>
      </c>
      <c r="B727" s="293" t="s">
        <v>1121</v>
      </c>
      <c r="C727" s="294" t="s">
        <v>15049</v>
      </c>
      <c r="D727" s="295" t="s">
        <v>15049</v>
      </c>
      <c r="E727" s="293" t="s">
        <v>1098</v>
      </c>
      <c r="F727" s="293" t="s">
        <v>1409</v>
      </c>
      <c r="G727" s="293" t="s">
        <v>13217</v>
      </c>
      <c r="H727" s="296" t="s">
        <v>15855</v>
      </c>
      <c r="I727" s="297" t="s">
        <v>16499</v>
      </c>
      <c r="J727" s="297" t="s">
        <v>1739</v>
      </c>
      <c r="K727" s="298" t="s">
        <v>16384</v>
      </c>
      <c r="L727" s="298" t="s">
        <v>16491</v>
      </c>
      <c r="M727" s="298" t="s">
        <v>15869</v>
      </c>
      <c r="N727" s="298" t="s">
        <v>16492</v>
      </c>
      <c r="O727" s="298" t="s">
        <v>16500</v>
      </c>
      <c r="P727" s="299" t="s">
        <v>15857</v>
      </c>
      <c r="Q727" s="300" t="s">
        <v>15855</v>
      </c>
      <c r="R727" s="182" t="str">
        <f ca="1">IF(ISERROR($V727),"",OFFSET('Smelter Look-up'!$C$4,$V727-4,0)&amp;"")</f>
        <v>TANIOBIS Japan Co., Ltd.</v>
      </c>
      <c r="S727" s="181" t="str">
        <f t="shared" ca="1" si="101"/>
        <v>JP</v>
      </c>
      <c r="T727" s="181" t="str">
        <f ca="1">IF(B727="","",IF(ISERROR(MATCH($J727,SorP!$B$1:$B$6226,0)),"",INDIRECT("'SorP'!$A$"&amp;MATCH($S727&amp;$J727,SorP!C:C,0))))</f>
        <v>JP-08</v>
      </c>
      <c r="U727" s="201"/>
      <c r="V727" s="226">
        <f>IF(C727="",NA(),IF(OR(C727="Smelter not listed",C727="Smelter not yet identified"),MATCH($B727&amp;$D727,'Smelter Look-up'!$J:$J,0),MATCH($B727&amp;$C727,'Smelter Look-up'!$J:$J,0)))</f>
        <v>386</v>
      </c>
      <c r="X727" s="227">
        <f t="shared" si="102"/>
        <v>0</v>
      </c>
      <c r="AB727" s="228" t="str">
        <f t="shared" si="103"/>
        <v>TantalumTANIOBIS Japan Co., Ltd.</v>
      </c>
    </row>
    <row r="728" spans="1:28" s="227" customFormat="1" ht="67.5">
      <c r="A728" s="301" t="s">
        <v>1409</v>
      </c>
      <c r="B728" s="293" t="s">
        <v>1121</v>
      </c>
      <c r="C728" s="294" t="s">
        <v>15049</v>
      </c>
      <c r="D728" s="295" t="s">
        <v>15049</v>
      </c>
      <c r="E728" s="293" t="s">
        <v>1098</v>
      </c>
      <c r="F728" s="293" t="s">
        <v>1409</v>
      </c>
      <c r="G728" s="293" t="s">
        <v>13217</v>
      </c>
      <c r="H728" s="302" t="s">
        <v>15880</v>
      </c>
      <c r="I728" s="297" t="s">
        <v>16499</v>
      </c>
      <c r="J728" s="297" t="s">
        <v>1739</v>
      </c>
      <c r="K728" s="298" t="s">
        <v>15855</v>
      </c>
      <c r="L728" s="298" t="s">
        <v>15855</v>
      </c>
      <c r="M728" s="298" t="s">
        <v>15855</v>
      </c>
      <c r="N728" s="298" t="s">
        <v>15855</v>
      </c>
      <c r="O728" s="298" t="s">
        <v>15855</v>
      </c>
      <c r="P728" s="299" t="s">
        <v>15857</v>
      </c>
      <c r="Q728" s="300" t="s">
        <v>15855</v>
      </c>
      <c r="R728" s="182" t="str">
        <f ca="1">IF(ISERROR($V728),"",OFFSET('Smelter Look-up'!$C$4,$V728-4,0)&amp;"")</f>
        <v>TANIOBIS Japan Co., Ltd.</v>
      </c>
      <c r="S728" s="181" t="str">
        <f t="shared" ca="1" si="101"/>
        <v>JP</v>
      </c>
      <c r="T728" s="181" t="str">
        <f ca="1">IF(B728="","",IF(ISERROR(MATCH($J728,SorP!$B$1:$B$6226,0)),"",INDIRECT("'SorP'!$A$"&amp;MATCH($S728&amp;$J728,SorP!C:C,0))))</f>
        <v>JP-08</v>
      </c>
      <c r="U728" s="201"/>
      <c r="V728" s="226">
        <f>IF(C728="",NA(),IF(OR(C728="Smelter not listed",C728="Smelter not yet identified"),MATCH($B728&amp;$D728,'Smelter Look-up'!$J:$J,0),MATCH($B728&amp;$C728,'Smelter Look-up'!$J:$J,0)))</f>
        <v>386</v>
      </c>
      <c r="X728" s="227">
        <f t="shared" si="102"/>
        <v>0</v>
      </c>
      <c r="AB728" s="228" t="str">
        <f t="shared" si="103"/>
        <v>TantalumTANIOBIS Japan Co., Ltd.</v>
      </c>
    </row>
    <row r="729" spans="1:28" s="227" customFormat="1" ht="67.5">
      <c r="A729" s="301" t="s">
        <v>1409</v>
      </c>
      <c r="B729" s="293" t="s">
        <v>1121</v>
      </c>
      <c r="C729" s="294" t="s">
        <v>15049</v>
      </c>
      <c r="D729" s="295" t="s">
        <v>15049</v>
      </c>
      <c r="E729" s="293" t="s">
        <v>1098</v>
      </c>
      <c r="F729" s="293" t="s">
        <v>1409</v>
      </c>
      <c r="G729" s="293" t="s">
        <v>13217</v>
      </c>
      <c r="H729" s="302" t="s">
        <v>15880</v>
      </c>
      <c r="I729" s="297" t="s">
        <v>16499</v>
      </c>
      <c r="J729" s="297" t="s">
        <v>1739</v>
      </c>
      <c r="K729" s="298" t="s">
        <v>16384</v>
      </c>
      <c r="L729" s="298" t="s">
        <v>16494</v>
      </c>
      <c r="M729" s="298" t="s">
        <v>15855</v>
      </c>
      <c r="N729" s="298" t="s">
        <v>16495</v>
      </c>
      <c r="O729" s="298" t="s">
        <v>16496</v>
      </c>
      <c r="P729" s="299" t="s">
        <v>15857</v>
      </c>
      <c r="Q729" s="300" t="s">
        <v>15855</v>
      </c>
      <c r="R729" s="182" t="str">
        <f ca="1">IF(ISERROR($V729),"",OFFSET('Smelter Look-up'!$C$4,$V729-4,0)&amp;"")</f>
        <v>TANIOBIS Japan Co., Ltd.</v>
      </c>
      <c r="S729" s="181" t="str">
        <f t="shared" ca="1" si="101"/>
        <v>JP</v>
      </c>
      <c r="T729" s="181" t="str">
        <f ca="1">IF(B729="","",IF(ISERROR(MATCH($J729,SorP!$B$1:$B$6226,0)),"",INDIRECT("'SorP'!$A$"&amp;MATCH($S729&amp;$J729,SorP!C:C,0))))</f>
        <v>JP-08</v>
      </c>
      <c r="U729" s="201"/>
      <c r="V729" s="226">
        <f>IF(C729="",NA(),IF(OR(C729="Smelter not listed",C729="Smelter not yet identified"),MATCH($B729&amp;$D729,'Smelter Look-up'!$J:$J,0),MATCH($B729&amp;$C729,'Smelter Look-up'!$J:$J,0)))</f>
        <v>386</v>
      </c>
      <c r="X729" s="227">
        <f t="shared" si="102"/>
        <v>0</v>
      </c>
      <c r="AB729" s="228" t="str">
        <f t="shared" si="103"/>
        <v>TantalumTANIOBIS Japan Co., Ltd.</v>
      </c>
    </row>
    <row r="730" spans="1:28" s="227" customFormat="1" ht="81">
      <c r="A730" s="301" t="s">
        <v>1410</v>
      </c>
      <c r="B730" s="293" t="s">
        <v>1121</v>
      </c>
      <c r="C730" s="294" t="s">
        <v>15050</v>
      </c>
      <c r="D730" s="295" t="s">
        <v>15050</v>
      </c>
      <c r="E730" s="293" t="s">
        <v>1091</v>
      </c>
      <c r="F730" s="293" t="s">
        <v>1410</v>
      </c>
      <c r="G730" s="293" t="s">
        <v>13217</v>
      </c>
      <c r="H730" s="296" t="s">
        <v>15855</v>
      </c>
      <c r="I730" s="297" t="s">
        <v>1737</v>
      </c>
      <c r="J730" s="297" t="s">
        <v>1536</v>
      </c>
      <c r="K730" s="298" t="s">
        <v>15855</v>
      </c>
      <c r="L730" s="298" t="s">
        <v>15855</v>
      </c>
      <c r="M730" s="298" t="s">
        <v>15855</v>
      </c>
      <c r="N730" s="298" t="s">
        <v>15855</v>
      </c>
      <c r="O730" s="298" t="s">
        <v>15855</v>
      </c>
      <c r="P730" s="299" t="s">
        <v>15857</v>
      </c>
      <c r="Q730" s="300" t="s">
        <v>15855</v>
      </c>
      <c r="R730" s="182" t="str">
        <f ca="1">IF(ISERROR($V730),"",OFFSET('Smelter Look-up'!$C$4,$V730-4,0)&amp;"")</f>
        <v>TANIOBIS Smelting GmbH &amp; Co. KG</v>
      </c>
      <c r="S730" s="181" t="str">
        <f t="shared" ca="1" si="101"/>
        <v>DE</v>
      </c>
      <c r="T730" s="181" t="str">
        <f ca="1">IF(B730="","",IF(ISERROR(MATCH($J730,SorP!$B$1:$B$6226,0)),"",INDIRECT("'SorP'!$A$"&amp;MATCH($S730&amp;$J730,SorP!C:C,0))))</f>
        <v>DE-BW</v>
      </c>
      <c r="U730" s="201"/>
      <c r="V730" s="226">
        <f>IF(C730="",NA(),IF(OR(C730="Smelter not listed",C730="Smelter not yet identified"),MATCH($B730&amp;$D730,'Smelter Look-up'!$J:$J,0),MATCH($B730&amp;$C730,'Smelter Look-up'!$J:$J,0)))</f>
        <v>387</v>
      </c>
      <c r="X730" s="227">
        <f t="shared" si="102"/>
        <v>0</v>
      </c>
      <c r="AB730" s="228" t="str">
        <f t="shared" si="103"/>
        <v>TantalumTANIOBIS Smelting GmbH &amp; Co. KG</v>
      </c>
    </row>
    <row r="731" spans="1:28" s="227" customFormat="1" ht="81">
      <c r="A731" s="301" t="s">
        <v>1410</v>
      </c>
      <c r="B731" s="293" t="s">
        <v>1121</v>
      </c>
      <c r="C731" s="294" t="s">
        <v>15050</v>
      </c>
      <c r="D731" s="295" t="s">
        <v>15050</v>
      </c>
      <c r="E731" s="293" t="s">
        <v>1091</v>
      </c>
      <c r="F731" s="293" t="s">
        <v>1410</v>
      </c>
      <c r="G731" s="293" t="s">
        <v>13217</v>
      </c>
      <c r="H731" s="296" t="s">
        <v>15855</v>
      </c>
      <c r="I731" s="297" t="s">
        <v>1737</v>
      </c>
      <c r="J731" s="297" t="s">
        <v>1536</v>
      </c>
      <c r="K731" s="298" t="s">
        <v>16384</v>
      </c>
      <c r="L731" s="298" t="s">
        <v>16491</v>
      </c>
      <c r="M731" s="298" t="s">
        <v>15869</v>
      </c>
      <c r="N731" s="298" t="s">
        <v>16492</v>
      </c>
      <c r="O731" s="298" t="s">
        <v>16498</v>
      </c>
      <c r="P731" s="299" t="s">
        <v>15857</v>
      </c>
      <c r="Q731" s="300" t="s">
        <v>15855</v>
      </c>
      <c r="R731" s="182" t="str">
        <f ca="1">IF(ISERROR($V731),"",OFFSET('Smelter Look-up'!$C$4,$V731-4,0)&amp;"")</f>
        <v>TANIOBIS Smelting GmbH &amp; Co. KG</v>
      </c>
      <c r="S731" s="181" t="str">
        <f t="shared" ca="1" si="101"/>
        <v>DE</v>
      </c>
      <c r="T731" s="181" t="str">
        <f ca="1">IF(B731="","",IF(ISERROR(MATCH($J731,SorP!$B$1:$B$6226,0)),"",INDIRECT("'SorP'!$A$"&amp;MATCH($S731&amp;$J731,SorP!C:C,0))))</f>
        <v>DE-BW</v>
      </c>
      <c r="U731" s="201"/>
      <c r="V731" s="226">
        <f>IF(C731="",NA(),IF(OR(C731="Smelter not listed",C731="Smelter not yet identified"),MATCH($B731&amp;$D731,'Smelter Look-up'!$J:$J,0),MATCH($B731&amp;$C731,'Smelter Look-up'!$J:$J,0)))</f>
        <v>387</v>
      </c>
      <c r="X731" s="227">
        <f t="shared" si="102"/>
        <v>0</v>
      </c>
      <c r="AB731" s="228" t="str">
        <f t="shared" si="103"/>
        <v>TantalumTANIOBIS Smelting GmbH &amp; Co. KG</v>
      </c>
    </row>
    <row r="732" spans="1:28" s="227" customFormat="1" ht="81">
      <c r="A732" s="301" t="s">
        <v>1410</v>
      </c>
      <c r="B732" s="293" t="s">
        <v>1121</v>
      </c>
      <c r="C732" s="294" t="s">
        <v>15050</v>
      </c>
      <c r="D732" s="295" t="s">
        <v>15050</v>
      </c>
      <c r="E732" s="293" t="s">
        <v>1091</v>
      </c>
      <c r="F732" s="293" t="s">
        <v>1410</v>
      </c>
      <c r="G732" s="293" t="s">
        <v>13217</v>
      </c>
      <c r="H732" s="302" t="s">
        <v>15880</v>
      </c>
      <c r="I732" s="297" t="s">
        <v>1737</v>
      </c>
      <c r="J732" s="297" t="s">
        <v>1536</v>
      </c>
      <c r="K732" s="298" t="s">
        <v>15855</v>
      </c>
      <c r="L732" s="298" t="s">
        <v>15855</v>
      </c>
      <c r="M732" s="298" t="s">
        <v>15855</v>
      </c>
      <c r="N732" s="298" t="s">
        <v>15855</v>
      </c>
      <c r="O732" s="298" t="s">
        <v>15855</v>
      </c>
      <c r="P732" s="299" t="s">
        <v>15857</v>
      </c>
      <c r="Q732" s="300" t="s">
        <v>15855</v>
      </c>
      <c r="R732" s="182" t="str">
        <f ca="1">IF(ISERROR($V732),"",OFFSET('Smelter Look-up'!$C$4,$V732-4,0)&amp;"")</f>
        <v>TANIOBIS Smelting GmbH &amp; Co. KG</v>
      </c>
      <c r="S732" s="181" t="str">
        <f t="shared" ref="S732:S762" ca="1" si="104">IF(B732="","",IF(ISERROR(MATCH($E732,CL,0)),"Unknown",INDIRECT("'C'!$A$"&amp;MATCH($E732,CL,0)+1)))</f>
        <v>DE</v>
      </c>
      <c r="T732" s="181" t="str">
        <f ca="1">IF(B732="","",IF(ISERROR(MATCH($J732,SorP!$B$1:$B$6226,0)),"",INDIRECT("'SorP'!$A$"&amp;MATCH($S732&amp;$J732,SorP!C:C,0))))</f>
        <v>DE-BW</v>
      </c>
      <c r="U732" s="201"/>
      <c r="V732" s="226">
        <f>IF(C732="",NA(),IF(OR(C732="Smelter not listed",C732="Smelter not yet identified"),MATCH($B732&amp;$D732,'Smelter Look-up'!$J:$J,0),MATCH($B732&amp;$C732,'Smelter Look-up'!$J:$J,0)))</f>
        <v>387</v>
      </c>
      <c r="X732" s="227">
        <f t="shared" ref="X732:X762" si="105">IF(AND(C732="Smelter not listed",OR(LEN(D732)=0,LEN(E732)=0)),1,0)</f>
        <v>0</v>
      </c>
      <c r="AB732" s="228" t="str">
        <f t="shared" ref="AB732:AB762" si="106">B732&amp;C732</f>
        <v>TantalumTANIOBIS Smelting GmbH &amp; Co. KG</v>
      </c>
    </row>
    <row r="733" spans="1:28" s="227" customFormat="1" ht="81">
      <c r="A733" s="301" t="s">
        <v>1410</v>
      </c>
      <c r="B733" s="293" t="s">
        <v>1121</v>
      </c>
      <c r="C733" s="294" t="s">
        <v>15050</v>
      </c>
      <c r="D733" s="295" t="s">
        <v>15050</v>
      </c>
      <c r="E733" s="293" t="s">
        <v>1091</v>
      </c>
      <c r="F733" s="293" t="s">
        <v>1410</v>
      </c>
      <c r="G733" s="293" t="s">
        <v>13217</v>
      </c>
      <c r="H733" s="302" t="s">
        <v>15880</v>
      </c>
      <c r="I733" s="297" t="s">
        <v>1737</v>
      </c>
      <c r="J733" s="297" t="s">
        <v>1536</v>
      </c>
      <c r="K733" s="298" t="s">
        <v>16384</v>
      </c>
      <c r="L733" s="298" t="s">
        <v>16494</v>
      </c>
      <c r="M733" s="298" t="s">
        <v>15855</v>
      </c>
      <c r="N733" s="298" t="s">
        <v>16495</v>
      </c>
      <c r="O733" s="298" t="s">
        <v>16496</v>
      </c>
      <c r="P733" s="299" t="s">
        <v>15857</v>
      </c>
      <c r="Q733" s="300" t="s">
        <v>15855</v>
      </c>
      <c r="R733" s="182" t="str">
        <f ca="1">IF(ISERROR($V733),"",OFFSET('Smelter Look-up'!$C$4,$V733-4,0)&amp;"")</f>
        <v>TANIOBIS Smelting GmbH &amp; Co. KG</v>
      </c>
      <c r="S733" s="181" t="str">
        <f t="shared" ca="1" si="104"/>
        <v>DE</v>
      </c>
      <c r="T733" s="181" t="str">
        <f ca="1">IF(B733="","",IF(ISERROR(MATCH($J733,SorP!$B$1:$B$6226,0)),"",INDIRECT("'SorP'!$A$"&amp;MATCH($S733&amp;$J733,SorP!C:C,0))))</f>
        <v>DE-BW</v>
      </c>
      <c r="U733" s="201"/>
      <c r="V733" s="226">
        <f>IF(C733="",NA(),IF(OR(C733="Smelter not listed",C733="Smelter not yet identified"),MATCH($B733&amp;$D733,'Smelter Look-up'!$J:$J,0),MATCH($B733&amp;$C733,'Smelter Look-up'!$J:$J,0)))</f>
        <v>387</v>
      </c>
      <c r="X733" s="227">
        <f t="shared" si="105"/>
        <v>0</v>
      </c>
      <c r="AB733" s="228" t="str">
        <f t="shared" si="106"/>
        <v>TantalumTANIOBIS Smelting GmbH &amp; Co. KG</v>
      </c>
    </row>
    <row r="734" spans="1:28" s="227" customFormat="1" ht="40.5">
      <c r="A734" s="301" t="s">
        <v>756</v>
      </c>
      <c r="B734" s="293" t="s">
        <v>1121</v>
      </c>
      <c r="C734" s="294" t="s">
        <v>1723</v>
      </c>
      <c r="D734" s="295" t="s">
        <v>1723</v>
      </c>
      <c r="E734" s="293" t="s">
        <v>2415</v>
      </c>
      <c r="F734" s="293" t="s">
        <v>756</v>
      </c>
      <c r="G734" s="293" t="s">
        <v>13217</v>
      </c>
      <c r="H734" s="296" t="s">
        <v>15855</v>
      </c>
      <c r="I734" s="297" t="s">
        <v>1724</v>
      </c>
      <c r="J734" s="297" t="s">
        <v>1725</v>
      </c>
      <c r="K734" s="298" t="s">
        <v>15855</v>
      </c>
      <c r="L734" s="298" t="s">
        <v>15855</v>
      </c>
      <c r="M734" s="298" t="s">
        <v>15855</v>
      </c>
      <c r="N734" s="298" t="s">
        <v>15855</v>
      </c>
      <c r="O734" s="298" t="s">
        <v>15855</v>
      </c>
      <c r="P734" s="299" t="s">
        <v>15857</v>
      </c>
      <c r="Q734" s="300" t="s">
        <v>15855</v>
      </c>
      <c r="R734" s="182" t="str">
        <f ca="1">IF(ISERROR($V734),"",OFFSET('Smelter Look-up'!$C$4,$V734-4,0)&amp;"")</f>
        <v>Telex Metals</v>
      </c>
      <c r="S734" s="181" t="str">
        <f t="shared" ca="1" si="104"/>
        <v>US</v>
      </c>
      <c r="T734" s="181" t="str">
        <f ca="1">IF(B734="","",IF(ISERROR(MATCH($J734,SorP!$B$1:$B$6226,0)),"",INDIRECT("'SorP'!$A$"&amp;MATCH($S734&amp;$J734,SorP!C:C,0))))</f>
        <v>US-PA</v>
      </c>
      <c r="U734" s="201"/>
      <c r="V734" s="226">
        <f>IF(C734="",NA(),IF(OR(C734="Smelter not listed",C734="Smelter not yet identified"),MATCH($B734&amp;$D734,'Smelter Look-up'!$J:$J,0),MATCH($B734&amp;$C734,'Smelter Look-up'!$J:$J,0)))</f>
        <v>388</v>
      </c>
      <c r="X734" s="227">
        <f t="shared" si="105"/>
        <v>0</v>
      </c>
      <c r="AB734" s="228" t="str">
        <f t="shared" si="106"/>
        <v>TantalumTelex Metals</v>
      </c>
    </row>
    <row r="735" spans="1:28" s="227" customFormat="1" ht="40.5">
      <c r="A735" s="301" t="s">
        <v>756</v>
      </c>
      <c r="B735" s="293" t="s">
        <v>1121</v>
      </c>
      <c r="C735" s="294" t="s">
        <v>1723</v>
      </c>
      <c r="D735" s="295" t="s">
        <v>1723</v>
      </c>
      <c r="E735" s="293" t="s">
        <v>2415</v>
      </c>
      <c r="F735" s="293" t="s">
        <v>756</v>
      </c>
      <c r="G735" s="293" t="s">
        <v>13217</v>
      </c>
      <c r="H735" s="296" t="s">
        <v>15855</v>
      </c>
      <c r="I735" s="297" t="s">
        <v>1724</v>
      </c>
      <c r="J735" s="297" t="s">
        <v>1725</v>
      </c>
      <c r="K735" s="298" t="s">
        <v>15855</v>
      </c>
      <c r="L735" s="298" t="s">
        <v>15855</v>
      </c>
      <c r="M735" s="298" t="s">
        <v>15855</v>
      </c>
      <c r="N735" s="298" t="s">
        <v>15855</v>
      </c>
      <c r="O735" s="298" t="s">
        <v>15858</v>
      </c>
      <c r="P735" s="299" t="s">
        <v>15857</v>
      </c>
      <c r="Q735" s="300" t="s">
        <v>15855</v>
      </c>
      <c r="R735" s="182" t="str">
        <f ca="1">IF(ISERROR($V735),"",OFFSET('Smelter Look-up'!$C$4,$V735-4,0)&amp;"")</f>
        <v>Telex Metals</v>
      </c>
      <c r="S735" s="181" t="str">
        <f t="shared" ca="1" si="104"/>
        <v>US</v>
      </c>
      <c r="T735" s="181" t="str">
        <f ca="1">IF(B735="","",IF(ISERROR(MATCH($J735,SorP!$B$1:$B$6226,0)),"",INDIRECT("'SorP'!$A$"&amp;MATCH($S735&amp;$J735,SorP!C:C,0))))</f>
        <v>US-PA</v>
      </c>
      <c r="U735" s="201"/>
      <c r="V735" s="226">
        <f>IF(C735="",NA(),IF(OR(C735="Smelter not listed",C735="Smelter not yet identified"),MATCH($B735&amp;$D735,'Smelter Look-up'!$J:$J,0),MATCH($B735&amp;$C735,'Smelter Look-up'!$J:$J,0)))</f>
        <v>388</v>
      </c>
      <c r="X735" s="227">
        <f t="shared" si="105"/>
        <v>0</v>
      </c>
      <c r="AB735" s="228" t="str">
        <f t="shared" si="106"/>
        <v>TantalumTelex Metals</v>
      </c>
    </row>
    <row r="736" spans="1:28" s="227" customFormat="1" ht="40.5">
      <c r="A736" s="301" t="s">
        <v>756</v>
      </c>
      <c r="B736" s="293" t="s">
        <v>1121</v>
      </c>
      <c r="C736" s="294" t="s">
        <v>1723</v>
      </c>
      <c r="D736" s="295" t="s">
        <v>1723</v>
      </c>
      <c r="E736" s="293" t="s">
        <v>2415</v>
      </c>
      <c r="F736" s="293" t="s">
        <v>756</v>
      </c>
      <c r="G736" s="293" t="s">
        <v>13217</v>
      </c>
      <c r="H736" s="296" t="s">
        <v>15855</v>
      </c>
      <c r="I736" s="297" t="s">
        <v>1724</v>
      </c>
      <c r="J736" s="297" t="s">
        <v>1725</v>
      </c>
      <c r="K736" s="298" t="s">
        <v>16501</v>
      </c>
      <c r="L736" s="298" t="s">
        <v>16502</v>
      </c>
      <c r="M736" s="298" t="s">
        <v>16372</v>
      </c>
      <c r="N736" s="298" t="s">
        <v>16349</v>
      </c>
      <c r="O736" s="298" t="s">
        <v>15871</v>
      </c>
      <c r="P736" s="299" t="s">
        <v>15857</v>
      </c>
      <c r="Q736" s="300" t="s">
        <v>15855</v>
      </c>
      <c r="R736" s="182" t="str">
        <f ca="1">IF(ISERROR($V736),"",OFFSET('Smelter Look-up'!$C$4,$V736-4,0)&amp;"")</f>
        <v>Telex Metals</v>
      </c>
      <c r="S736" s="181" t="str">
        <f t="shared" ca="1" si="104"/>
        <v>US</v>
      </c>
      <c r="T736" s="181" t="str">
        <f ca="1">IF(B736="","",IF(ISERROR(MATCH($J736,SorP!$B$1:$B$6226,0)),"",INDIRECT("'SorP'!$A$"&amp;MATCH($S736&amp;$J736,SorP!C:C,0))))</f>
        <v>US-PA</v>
      </c>
      <c r="U736" s="201"/>
      <c r="V736" s="226">
        <f>IF(C736="",NA(),IF(OR(C736="Smelter not listed",C736="Smelter not yet identified"),MATCH($B736&amp;$D736,'Smelter Look-up'!$J:$J,0),MATCH($B736&amp;$C736,'Smelter Look-up'!$J:$J,0)))</f>
        <v>388</v>
      </c>
      <c r="X736" s="227">
        <f t="shared" si="105"/>
        <v>0</v>
      </c>
      <c r="AB736" s="228" t="str">
        <f t="shared" si="106"/>
        <v>TantalumTelex Metals</v>
      </c>
    </row>
    <row r="737" spans="1:28" s="227" customFormat="1" ht="40.5">
      <c r="A737" s="301" t="s">
        <v>756</v>
      </c>
      <c r="B737" s="293" t="s">
        <v>1121</v>
      </c>
      <c r="C737" s="294" t="s">
        <v>1723</v>
      </c>
      <c r="D737" s="295" t="s">
        <v>1723</v>
      </c>
      <c r="E737" s="293" t="s">
        <v>2415</v>
      </c>
      <c r="F737" s="293" t="s">
        <v>756</v>
      </c>
      <c r="G737" s="293" t="s">
        <v>13217</v>
      </c>
      <c r="H737" s="302" t="s">
        <v>15880</v>
      </c>
      <c r="I737" s="297" t="s">
        <v>1724</v>
      </c>
      <c r="J737" s="297" t="s">
        <v>1725</v>
      </c>
      <c r="K737" s="298" t="s">
        <v>15855</v>
      </c>
      <c r="L737" s="298" t="s">
        <v>15855</v>
      </c>
      <c r="M737" s="298" t="s">
        <v>15855</v>
      </c>
      <c r="N737" s="298" t="s">
        <v>15855</v>
      </c>
      <c r="O737" s="298" t="s">
        <v>15855</v>
      </c>
      <c r="P737" s="299" t="s">
        <v>15857</v>
      </c>
      <c r="Q737" s="300" t="s">
        <v>15855</v>
      </c>
      <c r="R737" s="182" t="str">
        <f ca="1">IF(ISERROR($V737),"",OFFSET('Smelter Look-up'!$C$4,$V737-4,0)&amp;"")</f>
        <v>Telex Metals</v>
      </c>
      <c r="S737" s="181" t="str">
        <f t="shared" ca="1" si="104"/>
        <v>US</v>
      </c>
      <c r="T737" s="181" t="str">
        <f ca="1">IF(B737="","",IF(ISERROR(MATCH($J737,SorP!$B$1:$B$6226,0)),"",INDIRECT("'SorP'!$A$"&amp;MATCH($S737&amp;$J737,SorP!C:C,0))))</f>
        <v>US-PA</v>
      </c>
      <c r="U737" s="201"/>
      <c r="V737" s="226">
        <f>IF(C737="",NA(),IF(OR(C737="Smelter not listed",C737="Smelter not yet identified"),MATCH($B737&amp;$D737,'Smelter Look-up'!$J:$J,0),MATCH($B737&amp;$C737,'Smelter Look-up'!$J:$J,0)))</f>
        <v>388</v>
      </c>
      <c r="X737" s="227">
        <f t="shared" si="105"/>
        <v>0</v>
      </c>
      <c r="AB737" s="228" t="str">
        <f t="shared" si="106"/>
        <v>TantalumTelex Metals</v>
      </c>
    </row>
    <row r="738" spans="1:28" s="227" customFormat="1" ht="40.5">
      <c r="A738" s="301" t="s">
        <v>756</v>
      </c>
      <c r="B738" s="293" t="s">
        <v>1121</v>
      </c>
      <c r="C738" s="294" t="s">
        <v>1723</v>
      </c>
      <c r="D738" s="295" t="s">
        <v>1723</v>
      </c>
      <c r="E738" s="293" t="s">
        <v>2415</v>
      </c>
      <c r="F738" s="293" t="s">
        <v>756</v>
      </c>
      <c r="G738" s="293" t="s">
        <v>13217</v>
      </c>
      <c r="H738" s="296" t="s">
        <v>16503</v>
      </c>
      <c r="I738" s="297" t="s">
        <v>1724</v>
      </c>
      <c r="J738" s="297" t="s">
        <v>1725</v>
      </c>
      <c r="K738" s="298" t="s">
        <v>16501</v>
      </c>
      <c r="L738" s="298" t="s">
        <v>16502</v>
      </c>
      <c r="M738" s="298" t="s">
        <v>16343</v>
      </c>
      <c r="N738" s="298" t="s">
        <v>16344</v>
      </c>
      <c r="O738" s="298" t="s">
        <v>16344</v>
      </c>
      <c r="P738" s="299" t="s">
        <v>15857</v>
      </c>
      <c r="Q738" s="300" t="s">
        <v>16345</v>
      </c>
      <c r="R738" s="182" t="str">
        <f ca="1">IF(ISERROR($V738),"",OFFSET('Smelter Look-up'!$C$4,$V738-4,0)&amp;"")</f>
        <v>Telex Metals</v>
      </c>
      <c r="S738" s="181" t="str">
        <f t="shared" ca="1" si="104"/>
        <v>US</v>
      </c>
      <c r="T738" s="181" t="str">
        <f ca="1">IF(B738="","",IF(ISERROR(MATCH($J738,SorP!$B$1:$B$6226,0)),"",INDIRECT("'SorP'!$A$"&amp;MATCH($S738&amp;$J738,SorP!C:C,0))))</f>
        <v>US-PA</v>
      </c>
      <c r="U738" s="201"/>
      <c r="V738" s="226">
        <f>IF(C738="",NA(),IF(OR(C738="Smelter not listed",C738="Smelter not yet identified"),MATCH($B738&amp;$D738,'Smelter Look-up'!$J:$J,0),MATCH($B738&amp;$C738,'Smelter Look-up'!$J:$J,0)))</f>
        <v>388</v>
      </c>
      <c r="X738" s="227">
        <f t="shared" si="105"/>
        <v>0</v>
      </c>
      <c r="AB738" s="228" t="str">
        <f t="shared" si="106"/>
        <v>TantalumTelex Metals</v>
      </c>
    </row>
    <row r="739" spans="1:28" s="227" customFormat="1" ht="81">
      <c r="A739" s="301" t="s">
        <v>757</v>
      </c>
      <c r="B739" s="293" t="s">
        <v>1121</v>
      </c>
      <c r="C739" s="294" t="s">
        <v>1726</v>
      </c>
      <c r="D739" s="295" t="s">
        <v>1726</v>
      </c>
      <c r="E739" s="293" t="s">
        <v>1099</v>
      </c>
      <c r="F739" s="293" t="s">
        <v>757</v>
      </c>
      <c r="G739" s="293" t="s">
        <v>13217</v>
      </c>
      <c r="H739" s="296" t="s">
        <v>15855</v>
      </c>
      <c r="I739" s="297" t="s">
        <v>1598</v>
      </c>
      <c r="J739" s="297" t="s">
        <v>7036</v>
      </c>
      <c r="K739" s="298" t="s">
        <v>15855</v>
      </c>
      <c r="L739" s="298" t="s">
        <v>15855</v>
      </c>
      <c r="M739" s="298" t="s">
        <v>15855</v>
      </c>
      <c r="N739" s="298" t="s">
        <v>15855</v>
      </c>
      <c r="O739" s="298" t="s">
        <v>15855</v>
      </c>
      <c r="P739" s="299" t="s">
        <v>15857</v>
      </c>
      <c r="Q739" s="300" t="s">
        <v>15855</v>
      </c>
      <c r="R739" s="182" t="str">
        <f ca="1">IF(ISERROR($V739),"",OFFSET('Smelter Look-up'!$C$4,$V739-4,0)&amp;"")</f>
        <v>Ulba Metallurgical Plant JSC</v>
      </c>
      <c r="S739" s="181" t="str">
        <f t="shared" ca="1" si="104"/>
        <v>KZ</v>
      </c>
      <c r="T739" s="181" t="str">
        <f ca="1">IF(B739="","",IF(ISERROR(MATCH($J739,SorP!$B$1:$B$6226,0)),"",INDIRECT("'SorP'!$A$"&amp;MATCH($S739&amp;$J739,SorP!C:C,0))))</f>
        <v>KZ-KAR</v>
      </c>
      <c r="U739" s="201"/>
      <c r="V739" s="226">
        <f>IF(C739="",NA(),IF(OR(C739="Smelter not listed",C739="Smelter not yet identified"),MATCH($B739&amp;$D739,'Smelter Look-up'!$J:$J,0),MATCH($B739&amp;$C739,'Smelter Look-up'!$J:$J,0)))</f>
        <v>390</v>
      </c>
      <c r="X739" s="227">
        <f t="shared" si="105"/>
        <v>0</v>
      </c>
      <c r="AB739" s="228" t="str">
        <f t="shared" si="106"/>
        <v>TantalumUlba Metallurgical Plant JSC</v>
      </c>
    </row>
    <row r="740" spans="1:28" s="227" customFormat="1" ht="81">
      <c r="A740" s="301" t="s">
        <v>757</v>
      </c>
      <c r="B740" s="293" t="s">
        <v>1121</v>
      </c>
      <c r="C740" s="294" t="s">
        <v>1726</v>
      </c>
      <c r="D740" s="295" t="s">
        <v>1726</v>
      </c>
      <c r="E740" s="293" t="s">
        <v>1099</v>
      </c>
      <c r="F740" s="293" t="s">
        <v>757</v>
      </c>
      <c r="G740" s="293" t="s">
        <v>13217</v>
      </c>
      <c r="H740" s="296" t="s">
        <v>15855</v>
      </c>
      <c r="I740" s="297" t="s">
        <v>1598</v>
      </c>
      <c r="J740" s="297" t="s">
        <v>7036</v>
      </c>
      <c r="K740" s="298" t="s">
        <v>15855</v>
      </c>
      <c r="L740" s="298" t="s">
        <v>15855</v>
      </c>
      <c r="M740" s="298" t="s">
        <v>15855</v>
      </c>
      <c r="N740" s="298" t="s">
        <v>15855</v>
      </c>
      <c r="O740" s="298" t="s">
        <v>16504</v>
      </c>
      <c r="P740" s="299" t="s">
        <v>15857</v>
      </c>
      <c r="Q740" s="300" t="s">
        <v>15855</v>
      </c>
      <c r="R740" s="182" t="str">
        <f ca="1">IF(ISERROR($V740),"",OFFSET('Smelter Look-up'!$C$4,$V740-4,0)&amp;"")</f>
        <v>Ulba Metallurgical Plant JSC</v>
      </c>
      <c r="S740" s="181" t="str">
        <f t="shared" ca="1" si="104"/>
        <v>KZ</v>
      </c>
      <c r="T740" s="181" t="str">
        <f ca="1">IF(B740="","",IF(ISERROR(MATCH($J740,SorP!$B$1:$B$6226,0)),"",INDIRECT("'SorP'!$A$"&amp;MATCH($S740&amp;$J740,SorP!C:C,0))))</f>
        <v>KZ-KAR</v>
      </c>
      <c r="U740" s="201"/>
      <c r="V740" s="226">
        <f>IF(C740="",NA(),IF(OR(C740="Smelter not listed",C740="Smelter not yet identified"),MATCH($B740&amp;$D740,'Smelter Look-up'!$J:$J,0),MATCH($B740&amp;$C740,'Smelter Look-up'!$J:$J,0)))</f>
        <v>390</v>
      </c>
      <c r="X740" s="227">
        <f t="shared" si="105"/>
        <v>0</v>
      </c>
      <c r="AB740" s="228" t="str">
        <f t="shared" si="106"/>
        <v>TantalumUlba Metallurgical Plant JSC</v>
      </c>
    </row>
    <row r="741" spans="1:28" s="227" customFormat="1" ht="81">
      <c r="A741" s="301" t="s">
        <v>757</v>
      </c>
      <c r="B741" s="293" t="s">
        <v>1121</v>
      </c>
      <c r="C741" s="294" t="s">
        <v>1726</v>
      </c>
      <c r="D741" s="295" t="s">
        <v>1726</v>
      </c>
      <c r="E741" s="293" t="s">
        <v>1099</v>
      </c>
      <c r="F741" s="293" t="s">
        <v>757</v>
      </c>
      <c r="G741" s="293" t="s">
        <v>13217</v>
      </c>
      <c r="H741" s="296" t="s">
        <v>15855</v>
      </c>
      <c r="I741" s="297" t="s">
        <v>1598</v>
      </c>
      <c r="J741" s="297" t="s">
        <v>7036</v>
      </c>
      <c r="K741" s="298" t="s">
        <v>16505</v>
      </c>
      <c r="L741" s="298" t="s">
        <v>16506</v>
      </c>
      <c r="M741" s="298" t="s">
        <v>15892</v>
      </c>
      <c r="N741" s="298" t="s">
        <v>16507</v>
      </c>
      <c r="O741" s="298" t="s">
        <v>16508</v>
      </c>
      <c r="P741" s="299" t="s">
        <v>15857</v>
      </c>
      <c r="Q741" s="300" t="s">
        <v>15855</v>
      </c>
      <c r="R741" s="182" t="str">
        <f ca="1">IF(ISERROR($V741),"",OFFSET('Smelter Look-up'!$C$4,$V741-4,0)&amp;"")</f>
        <v>Ulba Metallurgical Plant JSC</v>
      </c>
      <c r="S741" s="181" t="str">
        <f t="shared" ca="1" si="104"/>
        <v>KZ</v>
      </c>
      <c r="T741" s="181" t="str">
        <f ca="1">IF(B741="","",IF(ISERROR(MATCH($J741,SorP!$B$1:$B$6226,0)),"",INDIRECT("'SorP'!$A$"&amp;MATCH($S741&amp;$J741,SorP!C:C,0))))</f>
        <v>KZ-KAR</v>
      </c>
      <c r="U741" s="201"/>
      <c r="V741" s="226">
        <f>IF(C741="",NA(),IF(OR(C741="Smelter not listed",C741="Smelter not yet identified"),MATCH($B741&amp;$D741,'Smelter Look-up'!$J:$J,0),MATCH($B741&amp;$C741,'Smelter Look-up'!$J:$J,0)))</f>
        <v>390</v>
      </c>
      <c r="X741" s="227">
        <f t="shared" si="105"/>
        <v>0</v>
      </c>
      <c r="AB741" s="228" t="str">
        <f t="shared" si="106"/>
        <v>TantalumUlba Metallurgical Plant JSC</v>
      </c>
    </row>
    <row r="742" spans="1:28" s="227" customFormat="1" ht="81">
      <c r="A742" s="301" t="s">
        <v>757</v>
      </c>
      <c r="B742" s="293" t="s">
        <v>1121</v>
      </c>
      <c r="C742" s="294" t="s">
        <v>1726</v>
      </c>
      <c r="D742" s="295" t="s">
        <v>1726</v>
      </c>
      <c r="E742" s="293" t="s">
        <v>1099</v>
      </c>
      <c r="F742" s="293" t="s">
        <v>757</v>
      </c>
      <c r="G742" s="293" t="s">
        <v>13217</v>
      </c>
      <c r="H742" s="302" t="s">
        <v>15880</v>
      </c>
      <c r="I742" s="297" t="s">
        <v>1598</v>
      </c>
      <c r="J742" s="297" t="s">
        <v>7036</v>
      </c>
      <c r="K742" s="298" t="s">
        <v>15855</v>
      </c>
      <c r="L742" s="298" t="s">
        <v>15855</v>
      </c>
      <c r="M742" s="298" t="s">
        <v>15855</v>
      </c>
      <c r="N742" s="298" t="s">
        <v>15855</v>
      </c>
      <c r="O742" s="298" t="s">
        <v>15855</v>
      </c>
      <c r="P742" s="299" t="s">
        <v>15857</v>
      </c>
      <c r="Q742" s="300" t="s">
        <v>15855</v>
      </c>
      <c r="R742" s="182" t="str">
        <f ca="1">IF(ISERROR($V742),"",OFFSET('Smelter Look-up'!$C$4,$V742-4,0)&amp;"")</f>
        <v>Ulba Metallurgical Plant JSC</v>
      </c>
      <c r="S742" s="181" t="str">
        <f t="shared" ca="1" si="104"/>
        <v>KZ</v>
      </c>
      <c r="T742" s="181" t="str">
        <f ca="1">IF(B742="","",IF(ISERROR(MATCH($J742,SorP!$B$1:$B$6226,0)),"",INDIRECT("'SorP'!$A$"&amp;MATCH($S742&amp;$J742,SorP!C:C,0))))</f>
        <v>KZ-KAR</v>
      </c>
      <c r="U742" s="201"/>
      <c r="V742" s="226">
        <f>IF(C742="",NA(),IF(OR(C742="Smelter not listed",C742="Smelter not yet identified"),MATCH($B742&amp;$D742,'Smelter Look-up'!$J:$J,0),MATCH($B742&amp;$C742,'Smelter Look-up'!$J:$J,0)))</f>
        <v>390</v>
      </c>
      <c r="X742" s="227">
        <f t="shared" si="105"/>
        <v>0</v>
      </c>
      <c r="AB742" s="228" t="str">
        <f t="shared" si="106"/>
        <v>TantalumUlba Metallurgical Plant JSC</v>
      </c>
    </row>
    <row r="743" spans="1:28" s="227" customFormat="1" ht="81">
      <c r="A743" s="301" t="s">
        <v>757</v>
      </c>
      <c r="B743" s="293" t="s">
        <v>1121</v>
      </c>
      <c r="C743" s="294" t="s">
        <v>1726</v>
      </c>
      <c r="D743" s="295" t="s">
        <v>1726</v>
      </c>
      <c r="E743" s="293" t="s">
        <v>1099</v>
      </c>
      <c r="F743" s="293" t="s">
        <v>757</v>
      </c>
      <c r="G743" s="293" t="s">
        <v>13217</v>
      </c>
      <c r="H743" s="296" t="s">
        <v>16509</v>
      </c>
      <c r="I743" s="297" t="s">
        <v>1598</v>
      </c>
      <c r="J743" s="297" t="s">
        <v>16510</v>
      </c>
      <c r="K743" s="298" t="s">
        <v>16511</v>
      </c>
      <c r="L743" s="298" t="s">
        <v>16512</v>
      </c>
      <c r="M743" s="298" t="s">
        <v>15855</v>
      </c>
      <c r="N743" s="298" t="s">
        <v>16513</v>
      </c>
      <c r="O743" s="298" t="s">
        <v>16514</v>
      </c>
      <c r="P743" s="299" t="s">
        <v>15857</v>
      </c>
      <c r="Q743" s="300" t="s">
        <v>15855</v>
      </c>
      <c r="R743" s="182" t="str">
        <f ca="1">IF(ISERROR($V743),"",OFFSET('Smelter Look-up'!$C$4,$V743-4,0)&amp;"")</f>
        <v>Ulba Metallurgical Plant JSC</v>
      </c>
      <c r="S743" s="181" t="str">
        <f t="shared" ca="1" si="104"/>
        <v>KZ</v>
      </c>
      <c r="T743" s="181" t="str">
        <f ca="1">IF(B743="","",IF(ISERROR(MATCH($J743,SorP!$B$1:$B$6226,0)),"",INDIRECT("'SorP'!$A$"&amp;MATCH($S743&amp;$J743,SorP!C:C,0))))</f>
        <v/>
      </c>
      <c r="U743" s="201"/>
      <c r="V743" s="226">
        <f>IF(C743="",NA(),IF(OR(C743="Smelter not listed",C743="Smelter not yet identified"),MATCH($B743&amp;$D743,'Smelter Look-up'!$J:$J,0),MATCH($B743&amp;$C743,'Smelter Look-up'!$J:$J,0)))</f>
        <v>390</v>
      </c>
      <c r="X743" s="227">
        <f t="shared" si="105"/>
        <v>0</v>
      </c>
      <c r="AB743" s="228" t="str">
        <f t="shared" si="106"/>
        <v>TantalumUlba Metallurgical Plant JSC</v>
      </c>
    </row>
    <row r="744" spans="1:28" s="227" customFormat="1" ht="81">
      <c r="A744" s="301" t="s">
        <v>757</v>
      </c>
      <c r="B744" s="293" t="s">
        <v>1121</v>
      </c>
      <c r="C744" s="294" t="s">
        <v>1726</v>
      </c>
      <c r="D744" s="295" t="s">
        <v>1726</v>
      </c>
      <c r="E744" s="293" t="s">
        <v>1099</v>
      </c>
      <c r="F744" s="293" t="s">
        <v>757</v>
      </c>
      <c r="G744" s="293" t="s">
        <v>13217</v>
      </c>
      <c r="H744" s="296" t="s">
        <v>16509</v>
      </c>
      <c r="I744" s="297" t="s">
        <v>1598</v>
      </c>
      <c r="J744" s="297" t="s">
        <v>7036</v>
      </c>
      <c r="K744" s="298" t="s">
        <v>16515</v>
      </c>
      <c r="L744" s="298" t="s">
        <v>16516</v>
      </c>
      <c r="M744" s="298" t="s">
        <v>16343</v>
      </c>
      <c r="N744" s="298" t="s">
        <v>16344</v>
      </c>
      <c r="O744" s="298" t="s">
        <v>16344</v>
      </c>
      <c r="P744" s="299" t="s">
        <v>15857</v>
      </c>
      <c r="Q744" s="300" t="s">
        <v>16345</v>
      </c>
      <c r="R744" s="182" t="str">
        <f ca="1">IF(ISERROR($V744),"",OFFSET('Smelter Look-up'!$C$4,$V744-4,0)&amp;"")</f>
        <v>Ulba Metallurgical Plant JSC</v>
      </c>
      <c r="S744" s="181" t="str">
        <f t="shared" ca="1" si="104"/>
        <v>KZ</v>
      </c>
      <c r="T744" s="181" t="str">
        <f ca="1">IF(B744="","",IF(ISERROR(MATCH($J744,SorP!$B$1:$B$6226,0)),"",INDIRECT("'SorP'!$A$"&amp;MATCH($S744&amp;$J744,SorP!C:C,0))))</f>
        <v>KZ-KAR</v>
      </c>
      <c r="U744" s="201"/>
      <c r="V744" s="226">
        <f>IF(C744="",NA(),IF(OR(C744="Smelter not listed",C744="Smelter not yet identified"),MATCH($B744&amp;$D744,'Smelter Look-up'!$J:$J,0),MATCH($B744&amp;$C744,'Smelter Look-up'!$J:$J,0)))</f>
        <v>390</v>
      </c>
      <c r="X744" s="227">
        <f t="shared" si="105"/>
        <v>0</v>
      </c>
      <c r="AB744" s="228" t="str">
        <f t="shared" si="106"/>
        <v>TantalumUlba Metallurgical Plant JSC</v>
      </c>
    </row>
    <row r="745" spans="1:28" s="227" customFormat="1" ht="94.5">
      <c r="A745" s="301" t="s">
        <v>743</v>
      </c>
      <c r="B745" s="293" t="s">
        <v>1121</v>
      </c>
      <c r="C745" s="294" t="s">
        <v>15047</v>
      </c>
      <c r="D745" s="295" t="s">
        <v>15047</v>
      </c>
      <c r="E745" s="293" t="s">
        <v>1090</v>
      </c>
      <c r="F745" s="293" t="s">
        <v>743</v>
      </c>
      <c r="G745" s="293" t="s">
        <v>13217</v>
      </c>
      <c r="H745" s="296" t="s">
        <v>15855</v>
      </c>
      <c r="I745" s="297" t="s">
        <v>1707</v>
      </c>
      <c r="J745" s="297" t="s">
        <v>13601</v>
      </c>
      <c r="K745" s="298" t="s">
        <v>15855</v>
      </c>
      <c r="L745" s="298" t="s">
        <v>15855</v>
      </c>
      <c r="M745" s="298" t="s">
        <v>15855</v>
      </c>
      <c r="N745" s="298" t="s">
        <v>15855</v>
      </c>
      <c r="O745" s="298" t="s">
        <v>15855</v>
      </c>
      <c r="P745" s="299" t="s">
        <v>15857</v>
      </c>
      <c r="Q745" s="300" t="s">
        <v>15855</v>
      </c>
      <c r="R745" s="182" t="str">
        <f ca="1">IF(ISERROR($V745),"",OFFSET('Smelter Look-up'!$C$4,$V745-4,0)&amp;"")</f>
        <v>XIMEI RESOURCES (GUANGDONG) LIMITED</v>
      </c>
      <c r="S745" s="181" t="str">
        <f t="shared" ca="1" si="104"/>
        <v>CN</v>
      </c>
      <c r="T745" s="181" t="str">
        <f ca="1">IF(B745="","",IF(ISERROR(MATCH($J745,SorP!$B$1:$B$6226,0)),"",INDIRECT("'SorP'!$A$"&amp;MATCH($S745&amp;$J745,SorP!C:C,0))))</f>
        <v>CN-GD</v>
      </c>
      <c r="U745" s="201"/>
      <c r="V745" s="226">
        <f>IF(C745="",NA(),IF(OR(C745="Smelter not listed",C745="Smelter not yet identified"),MATCH($B745&amp;$D745,'Smelter Look-up'!$J:$J,0),MATCH($B745&amp;$C745,'Smelter Look-up'!$J:$J,0)))</f>
        <v>391</v>
      </c>
      <c r="X745" s="227">
        <f t="shared" si="105"/>
        <v>0</v>
      </c>
      <c r="AB745" s="228" t="str">
        <f t="shared" si="106"/>
        <v>TantalumXIMEI RESOURCES (GUANGDONG) LIMITED</v>
      </c>
    </row>
    <row r="746" spans="1:28" s="227" customFormat="1" ht="94.5">
      <c r="A746" s="301" t="s">
        <v>743</v>
      </c>
      <c r="B746" s="293" t="s">
        <v>1121</v>
      </c>
      <c r="C746" s="294" t="s">
        <v>15047</v>
      </c>
      <c r="D746" s="295" t="s">
        <v>15047</v>
      </c>
      <c r="E746" s="293" t="s">
        <v>1090</v>
      </c>
      <c r="F746" s="293" t="s">
        <v>743</v>
      </c>
      <c r="G746" s="293" t="s">
        <v>13217</v>
      </c>
      <c r="H746" s="296" t="s">
        <v>15855</v>
      </c>
      <c r="I746" s="297" t="s">
        <v>1707</v>
      </c>
      <c r="J746" s="297" t="s">
        <v>13601</v>
      </c>
      <c r="K746" s="298" t="s">
        <v>15855</v>
      </c>
      <c r="L746" s="298" t="s">
        <v>15855</v>
      </c>
      <c r="M746" s="298" t="s">
        <v>15855</v>
      </c>
      <c r="N746" s="298" t="s">
        <v>15855</v>
      </c>
      <c r="O746" s="298" t="s">
        <v>15858</v>
      </c>
      <c r="P746" s="299" t="s">
        <v>15857</v>
      </c>
      <c r="Q746" s="300" t="s">
        <v>15855</v>
      </c>
      <c r="R746" s="182" t="str">
        <f ca="1">IF(ISERROR($V746),"",OFFSET('Smelter Look-up'!$C$4,$V746-4,0)&amp;"")</f>
        <v>XIMEI RESOURCES (GUANGDONG) LIMITED</v>
      </c>
      <c r="S746" s="181" t="str">
        <f t="shared" ca="1" si="104"/>
        <v>CN</v>
      </c>
      <c r="T746" s="181" t="str">
        <f ca="1">IF(B746="","",IF(ISERROR(MATCH($J746,SorP!$B$1:$B$6226,0)),"",INDIRECT("'SorP'!$A$"&amp;MATCH($S746&amp;$J746,SorP!C:C,0))))</f>
        <v>CN-GD</v>
      </c>
      <c r="U746" s="201"/>
      <c r="V746" s="226">
        <f>IF(C746="",NA(),IF(OR(C746="Smelter not listed",C746="Smelter not yet identified"),MATCH($B746&amp;$D746,'Smelter Look-up'!$J:$J,0),MATCH($B746&amp;$C746,'Smelter Look-up'!$J:$J,0)))</f>
        <v>391</v>
      </c>
      <c r="X746" s="227">
        <f t="shared" si="105"/>
        <v>0</v>
      </c>
      <c r="AB746" s="228" t="str">
        <f t="shared" si="106"/>
        <v>TantalumXIMEI RESOURCES (GUANGDONG) LIMITED</v>
      </c>
    </row>
    <row r="747" spans="1:28" s="227" customFormat="1" ht="94.5">
      <c r="A747" s="301" t="s">
        <v>743</v>
      </c>
      <c r="B747" s="293" t="s">
        <v>1121</v>
      </c>
      <c r="C747" s="294" t="s">
        <v>15047</v>
      </c>
      <c r="D747" s="295" t="s">
        <v>15047</v>
      </c>
      <c r="E747" s="293" t="s">
        <v>1090</v>
      </c>
      <c r="F747" s="293" t="s">
        <v>743</v>
      </c>
      <c r="G747" s="293" t="s">
        <v>13217</v>
      </c>
      <c r="H747" s="296" t="s">
        <v>15855</v>
      </c>
      <c r="I747" s="297" t="s">
        <v>1707</v>
      </c>
      <c r="J747" s="297" t="s">
        <v>13601</v>
      </c>
      <c r="K747" s="298" t="s">
        <v>16517</v>
      </c>
      <c r="L747" s="298" t="s">
        <v>16518</v>
      </c>
      <c r="M747" s="298" t="s">
        <v>16519</v>
      </c>
      <c r="N747" s="298" t="s">
        <v>16349</v>
      </c>
      <c r="O747" s="298" t="s">
        <v>16520</v>
      </c>
      <c r="P747" s="299" t="s">
        <v>15857</v>
      </c>
      <c r="Q747" s="300" t="s">
        <v>15855</v>
      </c>
      <c r="R747" s="182" t="str">
        <f ca="1">IF(ISERROR($V747),"",OFFSET('Smelter Look-up'!$C$4,$V747-4,0)&amp;"")</f>
        <v>XIMEI RESOURCES (GUANGDONG) LIMITED</v>
      </c>
      <c r="S747" s="181" t="str">
        <f t="shared" ca="1" si="104"/>
        <v>CN</v>
      </c>
      <c r="T747" s="181" t="str">
        <f ca="1">IF(B747="","",IF(ISERROR(MATCH($J747,SorP!$B$1:$B$6226,0)),"",INDIRECT("'SorP'!$A$"&amp;MATCH($S747&amp;$J747,SorP!C:C,0))))</f>
        <v>CN-GD</v>
      </c>
      <c r="U747" s="201"/>
      <c r="V747" s="226">
        <f>IF(C747="",NA(),IF(OR(C747="Smelter not listed",C747="Smelter not yet identified"),MATCH($B747&amp;$D747,'Smelter Look-up'!$J:$J,0),MATCH($B747&amp;$C747,'Smelter Look-up'!$J:$J,0)))</f>
        <v>391</v>
      </c>
      <c r="X747" s="227">
        <f t="shared" si="105"/>
        <v>0</v>
      </c>
      <c r="AB747" s="228" t="str">
        <f t="shared" si="106"/>
        <v>TantalumXIMEI RESOURCES (GUANGDONG) LIMITED</v>
      </c>
    </row>
    <row r="748" spans="1:28" s="227" customFormat="1" ht="94.5">
      <c r="A748" s="301" t="s">
        <v>743</v>
      </c>
      <c r="B748" s="293" t="s">
        <v>1121</v>
      </c>
      <c r="C748" s="294" t="s">
        <v>15047</v>
      </c>
      <c r="D748" s="295" t="s">
        <v>15047</v>
      </c>
      <c r="E748" s="293" t="s">
        <v>1090</v>
      </c>
      <c r="F748" s="293" t="s">
        <v>743</v>
      </c>
      <c r="G748" s="293" t="s">
        <v>13217</v>
      </c>
      <c r="H748" s="302" t="s">
        <v>15880</v>
      </c>
      <c r="I748" s="297" t="s">
        <v>1707</v>
      </c>
      <c r="J748" s="297" t="s">
        <v>13601</v>
      </c>
      <c r="K748" s="298" t="s">
        <v>15855</v>
      </c>
      <c r="L748" s="298" t="s">
        <v>15855</v>
      </c>
      <c r="M748" s="298" t="s">
        <v>15855</v>
      </c>
      <c r="N748" s="298" t="s">
        <v>15855</v>
      </c>
      <c r="O748" s="298" t="s">
        <v>15855</v>
      </c>
      <c r="P748" s="299" t="s">
        <v>15857</v>
      </c>
      <c r="Q748" s="300" t="s">
        <v>15855</v>
      </c>
      <c r="R748" s="182" t="str">
        <f ca="1">IF(ISERROR($V748),"",OFFSET('Smelter Look-up'!$C$4,$V748-4,0)&amp;"")</f>
        <v>XIMEI RESOURCES (GUANGDONG) LIMITED</v>
      </c>
      <c r="S748" s="181" t="str">
        <f t="shared" ca="1" si="104"/>
        <v>CN</v>
      </c>
      <c r="T748" s="181" t="str">
        <f ca="1">IF(B748="","",IF(ISERROR(MATCH($J748,SorP!$B$1:$B$6226,0)),"",INDIRECT("'SorP'!$A$"&amp;MATCH($S748&amp;$J748,SorP!C:C,0))))</f>
        <v>CN-GD</v>
      </c>
      <c r="U748" s="201"/>
      <c r="V748" s="226">
        <f>IF(C748="",NA(),IF(OR(C748="Smelter not listed",C748="Smelter not yet identified"),MATCH($B748&amp;$D748,'Smelter Look-up'!$J:$J,0),MATCH($B748&amp;$C748,'Smelter Look-up'!$J:$J,0)))</f>
        <v>391</v>
      </c>
      <c r="X748" s="227">
        <f t="shared" si="105"/>
        <v>0</v>
      </c>
      <c r="AB748" s="228" t="str">
        <f t="shared" si="106"/>
        <v>TantalumXIMEI RESOURCES (GUANGDONG) LIMITED</v>
      </c>
    </row>
    <row r="749" spans="1:28" s="227" customFormat="1" ht="108">
      <c r="A749" s="301" t="s">
        <v>1388</v>
      </c>
      <c r="B749" s="293" t="s">
        <v>1121</v>
      </c>
      <c r="C749" s="294" t="s">
        <v>2154</v>
      </c>
      <c r="D749" s="295" t="s">
        <v>2154</v>
      </c>
      <c r="E749" s="293" t="s">
        <v>1090</v>
      </c>
      <c r="F749" s="293" t="s">
        <v>1388</v>
      </c>
      <c r="G749" s="293" t="s">
        <v>13217</v>
      </c>
      <c r="H749" s="296" t="s">
        <v>15855</v>
      </c>
      <c r="I749" s="297" t="s">
        <v>1730</v>
      </c>
      <c r="J749" s="297" t="s">
        <v>13601</v>
      </c>
      <c r="K749" s="298" t="s">
        <v>15855</v>
      </c>
      <c r="L749" s="298" t="s">
        <v>15855</v>
      </c>
      <c r="M749" s="298" t="s">
        <v>15855</v>
      </c>
      <c r="N749" s="298" t="s">
        <v>15855</v>
      </c>
      <c r="O749" s="298" t="s">
        <v>15855</v>
      </c>
      <c r="P749" s="299" t="s">
        <v>15857</v>
      </c>
      <c r="Q749" s="300" t="s">
        <v>15855</v>
      </c>
      <c r="R749" s="182" t="str">
        <f ca="1">IF(ISERROR($V749),"",OFFSET('Smelter Look-up'!$C$4,$V749-4,0)&amp;"")</f>
        <v>XinXing HaoRong Electronic Material Co., Ltd.</v>
      </c>
      <c r="S749" s="181" t="str">
        <f t="shared" ca="1" si="104"/>
        <v>CN</v>
      </c>
      <c r="T749" s="181" t="str">
        <f ca="1">IF(B749="","",IF(ISERROR(MATCH($J749,SorP!$B$1:$B$6226,0)),"",INDIRECT("'SorP'!$A$"&amp;MATCH($S749&amp;$J749,SorP!C:C,0))))</f>
        <v>CN-GD</v>
      </c>
      <c r="U749" s="201"/>
      <c r="V749" s="226">
        <f>IF(C749="",NA(),IF(OR(C749="Smelter not listed",C749="Smelter not yet identified"),MATCH($B749&amp;$D749,'Smelter Look-up'!$J:$J,0),MATCH($B749&amp;$C749,'Smelter Look-up'!$J:$J,0)))</f>
        <v>392</v>
      </c>
      <c r="X749" s="227">
        <f t="shared" si="105"/>
        <v>0</v>
      </c>
      <c r="AB749" s="228" t="str">
        <f t="shared" si="106"/>
        <v>TantalumXinXing HaoRong Electronic Material Co., Ltd.</v>
      </c>
    </row>
    <row r="750" spans="1:28" s="227" customFormat="1" ht="108">
      <c r="A750" s="301" t="s">
        <v>1388</v>
      </c>
      <c r="B750" s="293" t="s">
        <v>1121</v>
      </c>
      <c r="C750" s="294" t="s">
        <v>2154</v>
      </c>
      <c r="D750" s="295" t="s">
        <v>2154</v>
      </c>
      <c r="E750" s="293" t="s">
        <v>15989</v>
      </c>
      <c r="F750" s="293" t="s">
        <v>1388</v>
      </c>
      <c r="G750" s="293" t="s">
        <v>13217</v>
      </c>
      <c r="H750" s="296" t="s">
        <v>15855</v>
      </c>
      <c r="I750" s="297" t="s">
        <v>1730</v>
      </c>
      <c r="J750" s="297" t="s">
        <v>13601</v>
      </c>
      <c r="K750" s="298" t="s">
        <v>15855</v>
      </c>
      <c r="L750" s="298" t="s">
        <v>15855</v>
      </c>
      <c r="M750" s="298" t="s">
        <v>15855</v>
      </c>
      <c r="N750" s="298" t="s">
        <v>15855</v>
      </c>
      <c r="O750" s="298" t="s">
        <v>16521</v>
      </c>
      <c r="P750" s="299" t="s">
        <v>15857</v>
      </c>
      <c r="Q750" s="300" t="s">
        <v>15855</v>
      </c>
      <c r="R750" s="182" t="str">
        <f ca="1">IF(ISERROR($V750),"",OFFSET('Smelter Look-up'!$C$4,$V750-4,0)&amp;"")</f>
        <v>XinXing HaoRong Electronic Material Co., Ltd.</v>
      </c>
      <c r="S750" s="181" t="str">
        <f t="shared" ca="1" si="104"/>
        <v>CN</v>
      </c>
      <c r="T750" s="181" t="str">
        <f ca="1">IF(B750="","",IF(ISERROR(MATCH($J750,SorP!$B$1:$B$6226,0)),"",INDIRECT("'SorP'!$A$"&amp;MATCH($S750&amp;$J750,SorP!C:C,0))))</f>
        <v>CN-GD</v>
      </c>
      <c r="U750" s="201"/>
      <c r="V750" s="226">
        <f>IF(C750="",NA(),IF(OR(C750="Smelter not listed",C750="Smelter not yet identified"),MATCH($B750&amp;$D750,'Smelter Look-up'!$J:$J,0),MATCH($B750&amp;$C750,'Smelter Look-up'!$J:$J,0)))</f>
        <v>392</v>
      </c>
      <c r="X750" s="227">
        <f t="shared" si="105"/>
        <v>0</v>
      </c>
      <c r="AB750" s="228" t="str">
        <f t="shared" si="106"/>
        <v>TantalumXinXing HaoRong Electronic Material Co., Ltd.</v>
      </c>
    </row>
    <row r="751" spans="1:28" s="227" customFormat="1" ht="108">
      <c r="A751" s="301" t="s">
        <v>1388</v>
      </c>
      <c r="B751" s="293" t="s">
        <v>1121</v>
      </c>
      <c r="C751" s="294" t="s">
        <v>2154</v>
      </c>
      <c r="D751" s="295" t="s">
        <v>2154</v>
      </c>
      <c r="E751" s="293" t="s">
        <v>1090</v>
      </c>
      <c r="F751" s="293" t="s">
        <v>1388</v>
      </c>
      <c r="G751" s="293" t="s">
        <v>13217</v>
      </c>
      <c r="H751" s="296" t="s">
        <v>15855</v>
      </c>
      <c r="I751" s="297" t="s">
        <v>1730</v>
      </c>
      <c r="J751" s="297" t="s">
        <v>13601</v>
      </c>
      <c r="K751" s="298" t="s">
        <v>15855</v>
      </c>
      <c r="L751" s="298" t="s">
        <v>15855</v>
      </c>
      <c r="M751" s="298" t="s">
        <v>15855</v>
      </c>
      <c r="N751" s="298" t="s">
        <v>15855</v>
      </c>
      <c r="O751" s="298" t="s">
        <v>15858</v>
      </c>
      <c r="P751" s="299" t="s">
        <v>15857</v>
      </c>
      <c r="Q751" s="300" t="s">
        <v>15855</v>
      </c>
      <c r="R751" s="182" t="str">
        <f ca="1">IF(ISERROR($V751),"",OFFSET('Smelter Look-up'!$C$4,$V751-4,0)&amp;"")</f>
        <v>XinXing HaoRong Electronic Material Co., Ltd.</v>
      </c>
      <c r="S751" s="181" t="str">
        <f t="shared" ca="1" si="104"/>
        <v>CN</v>
      </c>
      <c r="T751" s="181" t="str">
        <f ca="1">IF(B751="","",IF(ISERROR(MATCH($J751,SorP!$B$1:$B$6226,0)),"",INDIRECT("'SorP'!$A$"&amp;MATCH($S751&amp;$J751,SorP!C:C,0))))</f>
        <v>CN-GD</v>
      </c>
      <c r="U751" s="201"/>
      <c r="V751" s="226">
        <f>IF(C751="",NA(),IF(OR(C751="Smelter not listed",C751="Smelter not yet identified"),MATCH($B751&amp;$D751,'Smelter Look-up'!$J:$J,0),MATCH($B751&amp;$C751,'Smelter Look-up'!$J:$J,0)))</f>
        <v>392</v>
      </c>
      <c r="X751" s="227">
        <f t="shared" si="105"/>
        <v>0</v>
      </c>
      <c r="AB751" s="228" t="str">
        <f t="shared" si="106"/>
        <v>TantalumXinXing HaoRong Electronic Material Co., Ltd.</v>
      </c>
    </row>
    <row r="752" spans="1:28" s="227" customFormat="1" ht="108">
      <c r="A752" s="301" t="s">
        <v>1388</v>
      </c>
      <c r="B752" s="293" t="s">
        <v>1121</v>
      </c>
      <c r="C752" s="294" t="s">
        <v>2154</v>
      </c>
      <c r="D752" s="295" t="s">
        <v>2154</v>
      </c>
      <c r="E752" s="293" t="s">
        <v>1090</v>
      </c>
      <c r="F752" s="293" t="s">
        <v>1388</v>
      </c>
      <c r="G752" s="293" t="s">
        <v>13217</v>
      </c>
      <c r="H752" s="296" t="s">
        <v>16522</v>
      </c>
      <c r="I752" s="297" t="s">
        <v>1730</v>
      </c>
      <c r="J752" s="297" t="s">
        <v>13601</v>
      </c>
      <c r="K752" s="298" t="s">
        <v>16523</v>
      </c>
      <c r="L752" s="298" t="s">
        <v>16524</v>
      </c>
      <c r="M752" s="298" t="s">
        <v>16343</v>
      </c>
      <c r="N752" s="298" t="s">
        <v>16344</v>
      </c>
      <c r="O752" s="298" t="s">
        <v>16344</v>
      </c>
      <c r="P752" s="299" t="s">
        <v>15857</v>
      </c>
      <c r="Q752" s="300" t="s">
        <v>16345</v>
      </c>
      <c r="R752" s="182" t="str">
        <f ca="1">IF(ISERROR($V752),"",OFFSET('Smelter Look-up'!$C$4,$V752-4,0)&amp;"")</f>
        <v>XinXing HaoRong Electronic Material Co., Ltd.</v>
      </c>
      <c r="S752" s="181" t="str">
        <f t="shared" ca="1" si="104"/>
        <v>CN</v>
      </c>
      <c r="T752" s="181" t="str">
        <f ca="1">IF(B752="","",IF(ISERROR(MATCH($J752,SorP!$B$1:$B$6226,0)),"",INDIRECT("'SorP'!$A$"&amp;MATCH($S752&amp;$J752,SorP!C:C,0))))</f>
        <v>CN-GD</v>
      </c>
      <c r="U752" s="201"/>
      <c r="V752" s="226">
        <f>IF(C752="",NA(),IF(OR(C752="Smelter not listed",C752="Smelter not yet identified"),MATCH($B752&amp;$D752,'Smelter Look-up'!$J:$J,0),MATCH($B752&amp;$C752,'Smelter Look-up'!$J:$J,0)))</f>
        <v>392</v>
      </c>
      <c r="X752" s="227">
        <f t="shared" si="105"/>
        <v>0</v>
      </c>
      <c r="AB752" s="228" t="str">
        <f t="shared" si="106"/>
        <v>TantalumXinXing HaoRong Electronic Material Co., Ltd.</v>
      </c>
    </row>
    <row r="753" spans="1:28" s="227" customFormat="1" ht="94.5">
      <c r="A753" s="301" t="s">
        <v>753</v>
      </c>
      <c r="B753" s="293" t="s">
        <v>1121</v>
      </c>
      <c r="C753" s="294" t="s">
        <v>13252</v>
      </c>
      <c r="D753" s="295" t="s">
        <v>13252</v>
      </c>
      <c r="E753" s="293" t="s">
        <v>1090</v>
      </c>
      <c r="F753" s="293" t="s">
        <v>753</v>
      </c>
      <c r="G753" s="293" t="s">
        <v>13217</v>
      </c>
      <c r="H753" s="296" t="s">
        <v>15855</v>
      </c>
      <c r="I753" s="297" t="s">
        <v>1720</v>
      </c>
      <c r="J753" s="297" t="s">
        <v>13600</v>
      </c>
      <c r="K753" s="298" t="s">
        <v>15855</v>
      </c>
      <c r="L753" s="298" t="s">
        <v>15855</v>
      </c>
      <c r="M753" s="298" t="s">
        <v>15855</v>
      </c>
      <c r="N753" s="298" t="s">
        <v>15855</v>
      </c>
      <c r="O753" s="298" t="s">
        <v>15855</v>
      </c>
      <c r="P753" s="299" t="s">
        <v>15857</v>
      </c>
      <c r="Q753" s="300" t="s">
        <v>15855</v>
      </c>
      <c r="R753" s="182" t="str">
        <f ca="1">IF(ISERROR($V753),"",OFFSET('Smelter Look-up'!$C$4,$V753-4,0)&amp;"")</f>
        <v>Yanling Jincheng Tantalum &amp; Niobium Co., Ltd.</v>
      </c>
      <c r="S753" s="181" t="str">
        <f t="shared" ca="1" si="104"/>
        <v>CN</v>
      </c>
      <c r="T753" s="181" t="str">
        <f ca="1">IF(B753="","",IF(ISERROR(MATCH($J753,SorP!$B$1:$B$6226,0)),"",INDIRECT("'SorP'!$A$"&amp;MATCH($S753&amp;$J753,SorP!C:C,0))))</f>
        <v>CN-HN</v>
      </c>
      <c r="U753" s="201"/>
      <c r="V753" s="226">
        <f>IF(C753="",NA(),IF(OR(C753="Smelter not listed",C753="Smelter not yet identified"),MATCH($B753&amp;$D753,'Smelter Look-up'!$J:$J,0),MATCH($B753&amp;$C753,'Smelter Look-up'!$J:$J,0)))</f>
        <v>394</v>
      </c>
      <c r="X753" s="227">
        <f t="shared" si="105"/>
        <v>0</v>
      </c>
      <c r="AB753" s="228" t="str">
        <f t="shared" si="106"/>
        <v>TantalumYanling Jincheng Tantalum &amp; Niobium Co., Ltd.</v>
      </c>
    </row>
    <row r="754" spans="1:28" s="227" customFormat="1" ht="94.5">
      <c r="A754" s="301" t="s">
        <v>753</v>
      </c>
      <c r="B754" s="293" t="s">
        <v>1121</v>
      </c>
      <c r="C754" s="294" t="s">
        <v>13252</v>
      </c>
      <c r="D754" s="295" t="s">
        <v>13252</v>
      </c>
      <c r="E754" s="293" t="s">
        <v>1090</v>
      </c>
      <c r="F754" s="293" t="s">
        <v>753</v>
      </c>
      <c r="G754" s="293" t="s">
        <v>13217</v>
      </c>
      <c r="H754" s="296" t="s">
        <v>15855</v>
      </c>
      <c r="I754" s="297" t="s">
        <v>1720</v>
      </c>
      <c r="J754" s="297" t="s">
        <v>13600</v>
      </c>
      <c r="K754" s="298" t="s">
        <v>15855</v>
      </c>
      <c r="L754" s="298" t="s">
        <v>15855</v>
      </c>
      <c r="M754" s="298" t="s">
        <v>15855</v>
      </c>
      <c r="N754" s="298" t="s">
        <v>15855</v>
      </c>
      <c r="O754" s="298" t="s">
        <v>15858</v>
      </c>
      <c r="P754" s="299" t="s">
        <v>15857</v>
      </c>
      <c r="Q754" s="300" t="s">
        <v>15855</v>
      </c>
      <c r="R754" s="182" t="str">
        <f ca="1">IF(ISERROR($V754),"",OFFSET('Smelter Look-up'!$C$4,$V754-4,0)&amp;"")</f>
        <v>Yanling Jincheng Tantalum &amp; Niobium Co., Ltd.</v>
      </c>
      <c r="S754" s="181" t="str">
        <f t="shared" ca="1" si="104"/>
        <v>CN</v>
      </c>
      <c r="T754" s="181" t="str">
        <f ca="1">IF(B754="","",IF(ISERROR(MATCH($J754,SorP!$B$1:$B$6226,0)),"",INDIRECT("'SorP'!$A$"&amp;MATCH($S754&amp;$J754,SorP!C:C,0))))</f>
        <v>CN-HN</v>
      </c>
      <c r="U754" s="201"/>
      <c r="V754" s="226">
        <f>IF(C754="",NA(),IF(OR(C754="Smelter not listed",C754="Smelter not yet identified"),MATCH($B754&amp;$D754,'Smelter Look-up'!$J:$J,0),MATCH($B754&amp;$C754,'Smelter Look-up'!$J:$J,0)))</f>
        <v>394</v>
      </c>
      <c r="X754" s="227">
        <f t="shared" si="105"/>
        <v>0</v>
      </c>
      <c r="AB754" s="228" t="str">
        <f t="shared" si="106"/>
        <v>TantalumYanling Jincheng Tantalum &amp; Niobium Co., Ltd.</v>
      </c>
    </row>
    <row r="755" spans="1:28" s="227" customFormat="1" ht="94.5">
      <c r="A755" s="301" t="s">
        <v>753</v>
      </c>
      <c r="B755" s="293" t="s">
        <v>1121</v>
      </c>
      <c r="C755" s="294" t="s">
        <v>13252</v>
      </c>
      <c r="D755" s="295" t="s">
        <v>13252</v>
      </c>
      <c r="E755" s="293" t="s">
        <v>1090</v>
      </c>
      <c r="F755" s="293" t="s">
        <v>753</v>
      </c>
      <c r="G755" s="293" t="s">
        <v>13217</v>
      </c>
      <c r="H755" s="296" t="s">
        <v>15855</v>
      </c>
      <c r="I755" s="297" t="s">
        <v>1720</v>
      </c>
      <c r="J755" s="297" t="s">
        <v>13600</v>
      </c>
      <c r="K755" s="298" t="s">
        <v>16525</v>
      </c>
      <c r="L755" s="298" t="s">
        <v>16526</v>
      </c>
      <c r="M755" s="298" t="s">
        <v>16527</v>
      </c>
      <c r="N755" s="298" t="s">
        <v>16349</v>
      </c>
      <c r="O755" s="298" t="s">
        <v>16528</v>
      </c>
      <c r="P755" s="299" t="s">
        <v>15857</v>
      </c>
      <c r="Q755" s="300" t="s">
        <v>15855</v>
      </c>
      <c r="R755" s="182" t="str">
        <f ca="1">IF(ISERROR($V755),"",OFFSET('Smelter Look-up'!$C$4,$V755-4,0)&amp;"")</f>
        <v>Yanling Jincheng Tantalum &amp; Niobium Co., Ltd.</v>
      </c>
      <c r="S755" s="181" t="str">
        <f t="shared" ca="1" si="104"/>
        <v>CN</v>
      </c>
      <c r="T755" s="181" t="str">
        <f ca="1">IF(B755="","",IF(ISERROR(MATCH($J755,SorP!$B$1:$B$6226,0)),"",INDIRECT("'SorP'!$A$"&amp;MATCH($S755&amp;$J755,SorP!C:C,0))))</f>
        <v>CN-HN</v>
      </c>
      <c r="U755" s="201"/>
      <c r="V755" s="226">
        <f>IF(C755="",NA(),IF(OR(C755="Smelter not listed",C755="Smelter not yet identified"),MATCH($B755&amp;$D755,'Smelter Look-up'!$J:$J,0),MATCH($B755&amp;$C755,'Smelter Look-up'!$J:$J,0)))</f>
        <v>394</v>
      </c>
      <c r="X755" s="227">
        <f t="shared" si="105"/>
        <v>0</v>
      </c>
      <c r="AB755" s="228" t="str">
        <f t="shared" si="106"/>
        <v>TantalumYanling Jincheng Tantalum &amp; Niobium Co., Ltd.</v>
      </c>
    </row>
    <row r="756" spans="1:28" s="227" customFormat="1" ht="94.5">
      <c r="A756" s="301" t="s">
        <v>753</v>
      </c>
      <c r="B756" s="293" t="s">
        <v>1121</v>
      </c>
      <c r="C756" s="294" t="s">
        <v>13252</v>
      </c>
      <c r="D756" s="295" t="s">
        <v>13252</v>
      </c>
      <c r="E756" s="293" t="s">
        <v>1090</v>
      </c>
      <c r="F756" s="293" t="s">
        <v>753</v>
      </c>
      <c r="G756" s="293" t="s">
        <v>13217</v>
      </c>
      <c r="H756" s="302" t="s">
        <v>15880</v>
      </c>
      <c r="I756" s="297" t="s">
        <v>1720</v>
      </c>
      <c r="J756" s="297" t="s">
        <v>13600</v>
      </c>
      <c r="K756" s="298" t="s">
        <v>15855</v>
      </c>
      <c r="L756" s="298" t="s">
        <v>15855</v>
      </c>
      <c r="M756" s="298" t="s">
        <v>15855</v>
      </c>
      <c r="N756" s="298" t="s">
        <v>15855</v>
      </c>
      <c r="O756" s="298" t="s">
        <v>15855</v>
      </c>
      <c r="P756" s="299" t="s">
        <v>15857</v>
      </c>
      <c r="Q756" s="300" t="s">
        <v>15855</v>
      </c>
      <c r="R756" s="182" t="str">
        <f ca="1">IF(ISERROR($V756),"",OFFSET('Smelter Look-up'!$C$4,$V756-4,0)&amp;"")</f>
        <v>Yanling Jincheng Tantalum &amp; Niobium Co., Ltd.</v>
      </c>
      <c r="S756" s="181" t="str">
        <f t="shared" ca="1" si="104"/>
        <v>CN</v>
      </c>
      <c r="T756" s="181" t="str">
        <f ca="1">IF(B756="","",IF(ISERROR(MATCH($J756,SorP!$B$1:$B$6226,0)),"",INDIRECT("'SorP'!$A$"&amp;MATCH($S756&amp;$J756,SorP!C:C,0))))</f>
        <v>CN-HN</v>
      </c>
      <c r="U756" s="201"/>
      <c r="V756" s="226">
        <f>IF(C756="",NA(),IF(OR(C756="Smelter not listed",C756="Smelter not yet identified"),MATCH($B756&amp;$D756,'Smelter Look-up'!$J:$J,0),MATCH($B756&amp;$C756,'Smelter Look-up'!$J:$J,0)))</f>
        <v>394</v>
      </c>
      <c r="X756" s="227">
        <f t="shared" si="105"/>
        <v>0</v>
      </c>
      <c r="AB756" s="228" t="str">
        <f t="shared" si="106"/>
        <v>TantalumYanling Jincheng Tantalum &amp; Niobium Co., Ltd.</v>
      </c>
    </row>
    <row r="757" spans="1:28" s="227" customFormat="1" ht="94.5">
      <c r="A757" s="301" t="s">
        <v>753</v>
      </c>
      <c r="B757" s="293" t="s">
        <v>1121</v>
      </c>
      <c r="C757" s="294" t="s">
        <v>13252</v>
      </c>
      <c r="D757" s="295" t="s">
        <v>13252</v>
      </c>
      <c r="E757" s="293" t="s">
        <v>1090</v>
      </c>
      <c r="F757" s="293" t="s">
        <v>753</v>
      </c>
      <c r="G757" s="293" t="s">
        <v>13217</v>
      </c>
      <c r="H757" s="296" t="s">
        <v>16529</v>
      </c>
      <c r="I757" s="297" t="s">
        <v>1720</v>
      </c>
      <c r="J757" s="297" t="s">
        <v>13600</v>
      </c>
      <c r="K757" s="298" t="s">
        <v>16525</v>
      </c>
      <c r="L757" s="298" t="s">
        <v>16526</v>
      </c>
      <c r="M757" s="298" t="s">
        <v>16343</v>
      </c>
      <c r="N757" s="298" t="s">
        <v>16344</v>
      </c>
      <c r="O757" s="298" t="s">
        <v>16344</v>
      </c>
      <c r="P757" s="299" t="s">
        <v>15857</v>
      </c>
      <c r="Q757" s="300" t="s">
        <v>16345</v>
      </c>
      <c r="R757" s="182" t="str">
        <f ca="1">IF(ISERROR($V757),"",OFFSET('Smelter Look-up'!$C$4,$V757-4,0)&amp;"")</f>
        <v>Yanling Jincheng Tantalum &amp; Niobium Co., Ltd.</v>
      </c>
      <c r="S757" s="181" t="str">
        <f t="shared" ca="1" si="104"/>
        <v>CN</v>
      </c>
      <c r="T757" s="181" t="str">
        <f ca="1">IF(B757="","",IF(ISERROR(MATCH($J757,SorP!$B$1:$B$6226,0)),"",INDIRECT("'SorP'!$A$"&amp;MATCH($S757&amp;$J757,SorP!C:C,0))))</f>
        <v>CN-HN</v>
      </c>
      <c r="U757" s="201"/>
      <c r="V757" s="226">
        <f>IF(C757="",NA(),IF(OR(C757="Smelter not listed",C757="Smelter not yet identified"),MATCH($B757&amp;$D757,'Smelter Look-up'!$J:$J,0),MATCH($B757&amp;$C757,'Smelter Look-up'!$J:$J,0)))</f>
        <v>394</v>
      </c>
      <c r="X757" s="227">
        <f t="shared" si="105"/>
        <v>0</v>
      </c>
      <c r="AB757" s="228" t="str">
        <f t="shared" si="106"/>
        <v>TantalumYanling Jincheng Tantalum &amp; Niobium Co., Ltd.</v>
      </c>
    </row>
    <row r="758" spans="1:28" s="227" customFormat="1" ht="67.5">
      <c r="A758" s="301" t="s">
        <v>15855</v>
      </c>
      <c r="B758" s="293" t="s">
        <v>1120</v>
      </c>
      <c r="C758" s="294" t="s">
        <v>15856</v>
      </c>
      <c r="D758" s="295" t="s">
        <v>15855</v>
      </c>
      <c r="E758" s="293" t="s">
        <v>15855</v>
      </c>
      <c r="F758" s="293" t="s">
        <v>15855</v>
      </c>
      <c r="G758" s="293" t="s">
        <v>15855</v>
      </c>
      <c r="H758" s="296" t="s">
        <v>15855</v>
      </c>
      <c r="I758" s="297" t="s">
        <v>15855</v>
      </c>
      <c r="J758" s="297" t="s">
        <v>15855</v>
      </c>
      <c r="K758" s="298" t="s">
        <v>15855</v>
      </c>
      <c r="L758" s="298" t="s">
        <v>15855</v>
      </c>
      <c r="M758" s="298" t="s">
        <v>15855</v>
      </c>
      <c r="N758" s="298" t="s">
        <v>15855</v>
      </c>
      <c r="O758" s="298" t="s">
        <v>15855</v>
      </c>
      <c r="P758" s="299" t="s">
        <v>15857</v>
      </c>
      <c r="Q758" s="300" t="s">
        <v>15855</v>
      </c>
      <c r="R758" s="182" t="str">
        <f ca="1">IF(ISERROR($V758),"",OFFSET('Smelter Look-up'!$C$4,$V758-4,0)&amp;"")</f>
        <v/>
      </c>
      <c r="S758" s="181" t="str">
        <f t="shared" ca="1" si="104"/>
        <v>Unknown</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si="105"/>
        <v>0</v>
      </c>
      <c r="AB758" s="228" t="str">
        <f t="shared" si="106"/>
        <v>TinSmelter Not Yet Identified</v>
      </c>
    </row>
    <row r="759" spans="1:28" s="227" customFormat="1" ht="67.5">
      <c r="A759" s="301" t="s">
        <v>15855</v>
      </c>
      <c r="B759" s="293" t="s">
        <v>1120</v>
      </c>
      <c r="C759" s="294" t="s">
        <v>15856</v>
      </c>
      <c r="D759" s="295" t="s">
        <v>15855</v>
      </c>
      <c r="E759" s="293" t="s">
        <v>16530</v>
      </c>
      <c r="F759" s="293" t="s">
        <v>15855</v>
      </c>
      <c r="G759" s="293" t="s">
        <v>15855</v>
      </c>
      <c r="H759" s="296" t="s">
        <v>15855</v>
      </c>
      <c r="I759" s="297" t="s">
        <v>15855</v>
      </c>
      <c r="J759" s="297" t="s">
        <v>15855</v>
      </c>
      <c r="K759" s="298" t="s">
        <v>15855</v>
      </c>
      <c r="L759" s="298" t="s">
        <v>15855</v>
      </c>
      <c r="M759" s="298" t="s">
        <v>15855</v>
      </c>
      <c r="N759" s="298" t="s">
        <v>15855</v>
      </c>
      <c r="O759" s="298" t="s">
        <v>15855</v>
      </c>
      <c r="P759" s="299" t="s">
        <v>15857</v>
      </c>
      <c r="Q759" s="300" t="s">
        <v>15855</v>
      </c>
      <c r="R759" s="182" t="str">
        <f ca="1">IF(ISERROR($V759),"",OFFSET('Smelter Look-up'!$C$4,$V759-4,0)&amp;"")</f>
        <v/>
      </c>
      <c r="S759" s="181" t="str">
        <f t="shared" ca="1" si="104"/>
        <v>Unknown</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si="105"/>
        <v>0</v>
      </c>
      <c r="AB759" s="228" t="str">
        <f t="shared" si="106"/>
        <v>TinSmelter Not Yet Identified</v>
      </c>
    </row>
    <row r="760" spans="1:28" s="227" customFormat="1" ht="27">
      <c r="A760" s="301" t="s">
        <v>758</v>
      </c>
      <c r="B760" s="293" t="s">
        <v>1120</v>
      </c>
      <c r="C760" s="294" t="s">
        <v>1747</v>
      </c>
      <c r="D760" s="295" t="s">
        <v>47</v>
      </c>
      <c r="E760" s="293" t="s">
        <v>2415</v>
      </c>
      <c r="F760" s="293" t="s">
        <v>758</v>
      </c>
      <c r="G760" s="293" t="s">
        <v>15865</v>
      </c>
      <c r="H760" s="296" t="s">
        <v>15855</v>
      </c>
      <c r="I760" s="297" t="s">
        <v>1746</v>
      </c>
      <c r="J760" s="297" t="s">
        <v>1725</v>
      </c>
      <c r="K760" s="298" t="s">
        <v>15855</v>
      </c>
      <c r="L760" s="298" t="s">
        <v>15855</v>
      </c>
      <c r="M760" s="298" t="s">
        <v>15855</v>
      </c>
      <c r="N760" s="298" t="s">
        <v>15855</v>
      </c>
      <c r="O760" s="298" t="s">
        <v>15855</v>
      </c>
      <c r="P760" s="299" t="s">
        <v>15857</v>
      </c>
      <c r="Q760" s="300" t="s">
        <v>15855</v>
      </c>
      <c r="R760" s="182" t="str">
        <f ca="1">IF(ISERROR($V760),"",OFFSET('Smelter Look-up'!$C$4,$V760-4,0)&amp;"")</f>
        <v>Alpha</v>
      </c>
      <c r="S760" s="181" t="str">
        <f t="shared" ca="1" si="104"/>
        <v>US</v>
      </c>
      <c r="T760" s="181" t="str">
        <f ca="1">IF(B760="","",IF(ISERROR(MATCH($J760,SorP!$B$1:$B$6226,0)),"",INDIRECT("'SorP'!$A$"&amp;MATCH($S760&amp;$J760,SorP!C:C,0))))</f>
        <v>US-PA</v>
      </c>
      <c r="U760" s="201"/>
      <c r="V760" s="226">
        <f>IF(C760="",NA(),IF(OR(C760="Smelter not listed",C760="Smelter not yet identified"),MATCH($B760&amp;$D760,'Smelter Look-up'!$J:$J,0),MATCH($B760&amp;$C760,'Smelter Look-up'!$J:$J,0)))</f>
        <v>399</v>
      </c>
      <c r="X760" s="227">
        <f t="shared" si="105"/>
        <v>0</v>
      </c>
      <c r="AB760" s="228" t="str">
        <f t="shared" si="106"/>
        <v>TinAlent plc</v>
      </c>
    </row>
    <row r="761" spans="1:28" s="227" customFormat="1" ht="27">
      <c r="A761" s="301" t="s">
        <v>758</v>
      </c>
      <c r="B761" s="293" t="s">
        <v>1120</v>
      </c>
      <c r="C761" s="294" t="s">
        <v>1747</v>
      </c>
      <c r="D761" s="295" t="s">
        <v>47</v>
      </c>
      <c r="E761" s="293" t="s">
        <v>2415</v>
      </c>
      <c r="F761" s="293" t="s">
        <v>758</v>
      </c>
      <c r="G761" s="293" t="s">
        <v>13217</v>
      </c>
      <c r="H761" s="296" t="s">
        <v>15855</v>
      </c>
      <c r="I761" s="297" t="s">
        <v>1746</v>
      </c>
      <c r="J761" s="297" t="s">
        <v>1725</v>
      </c>
      <c r="K761" s="298" t="s">
        <v>15855</v>
      </c>
      <c r="L761" s="298" t="s">
        <v>15855</v>
      </c>
      <c r="M761" s="298" t="s">
        <v>15855</v>
      </c>
      <c r="N761" s="298" t="s">
        <v>15855</v>
      </c>
      <c r="O761" s="298" t="s">
        <v>15855</v>
      </c>
      <c r="P761" s="299" t="s">
        <v>15857</v>
      </c>
      <c r="Q761" s="300" t="s">
        <v>15855</v>
      </c>
      <c r="R761" s="182" t="str">
        <f ca="1">IF(ISERROR($V761),"",OFFSET('Smelter Look-up'!$C$4,$V761-4,0)&amp;"")</f>
        <v>Alpha</v>
      </c>
      <c r="S761" s="181" t="str">
        <f t="shared" ca="1" si="104"/>
        <v>US</v>
      </c>
      <c r="T761" s="181" t="str">
        <f ca="1">IF(B761="","",IF(ISERROR(MATCH($J761,SorP!$B$1:$B$6226,0)),"",INDIRECT("'SorP'!$A$"&amp;MATCH($S761&amp;$J761,SorP!C:C,0))))</f>
        <v>US-PA</v>
      </c>
      <c r="U761" s="201"/>
      <c r="V761" s="226">
        <f>IF(C761="",NA(),IF(OR(C761="Smelter not listed",C761="Smelter not yet identified"),MATCH($B761&amp;$D761,'Smelter Look-up'!$J:$J,0),MATCH($B761&amp;$C761,'Smelter Look-up'!$J:$J,0)))</f>
        <v>399</v>
      </c>
      <c r="X761" s="227">
        <f t="shared" si="105"/>
        <v>0</v>
      </c>
      <c r="AB761" s="228" t="str">
        <f t="shared" si="106"/>
        <v>TinAlent plc</v>
      </c>
    </row>
    <row r="762" spans="1:28" s="227" customFormat="1" ht="27">
      <c r="A762" s="301" t="s">
        <v>758</v>
      </c>
      <c r="B762" s="293" t="s">
        <v>1120</v>
      </c>
      <c r="C762" s="294" t="s">
        <v>47</v>
      </c>
      <c r="D762" s="295" t="s">
        <v>47</v>
      </c>
      <c r="E762" s="293" t="s">
        <v>2415</v>
      </c>
      <c r="F762" s="293" t="s">
        <v>758</v>
      </c>
      <c r="G762" s="293" t="s">
        <v>15864</v>
      </c>
      <c r="H762" s="302" t="s">
        <v>15880</v>
      </c>
      <c r="I762" s="297" t="s">
        <v>1746</v>
      </c>
      <c r="J762" s="297" t="s">
        <v>1725</v>
      </c>
      <c r="K762" s="298" t="s">
        <v>15855</v>
      </c>
      <c r="L762" s="298" t="s">
        <v>15855</v>
      </c>
      <c r="M762" s="298" t="s">
        <v>15855</v>
      </c>
      <c r="N762" s="298" t="s">
        <v>15896</v>
      </c>
      <c r="O762" s="298" t="s">
        <v>15896</v>
      </c>
      <c r="P762" s="299" t="s">
        <v>15857</v>
      </c>
      <c r="Q762" s="300" t="s">
        <v>15855</v>
      </c>
      <c r="R762" s="182" t="str">
        <f ca="1">IF(ISERROR($V762),"",OFFSET('Smelter Look-up'!$C$4,$V762-4,0)&amp;"")</f>
        <v>Alpha</v>
      </c>
      <c r="S762" s="181" t="str">
        <f t="shared" ca="1" si="104"/>
        <v>US</v>
      </c>
      <c r="T762" s="181" t="str">
        <f ca="1">IF(B762="","",IF(ISERROR(MATCH($J762,SorP!$B$1:$B$6226,0)),"",INDIRECT("'SorP'!$A$"&amp;MATCH($S762&amp;$J762,SorP!C:C,0))))</f>
        <v>US-PA</v>
      </c>
      <c r="U762" s="201"/>
      <c r="V762" s="226">
        <f>IF(C762="",NA(),IF(OR(C762="Smelter not listed",C762="Smelter not yet identified"),MATCH($B762&amp;$D762,'Smelter Look-up'!$J:$J,0),MATCH($B762&amp;$C762,'Smelter Look-up'!$J:$J,0)))</f>
        <v>400</v>
      </c>
      <c r="X762" s="227">
        <f t="shared" si="105"/>
        <v>0</v>
      </c>
      <c r="AB762" s="228" t="str">
        <f t="shared" si="106"/>
        <v>TinAlpha</v>
      </c>
    </row>
    <row r="763" spans="1:28" s="227" customFormat="1" ht="27">
      <c r="A763" s="301" t="s">
        <v>758</v>
      </c>
      <c r="B763" s="293" t="s">
        <v>1120</v>
      </c>
      <c r="C763" s="294" t="s">
        <v>47</v>
      </c>
      <c r="D763" s="295" t="s">
        <v>47</v>
      </c>
      <c r="E763" s="293" t="s">
        <v>2415</v>
      </c>
      <c r="F763" s="293" t="s">
        <v>758</v>
      </c>
      <c r="G763" s="293" t="s">
        <v>13217</v>
      </c>
      <c r="H763" s="296" t="s">
        <v>15855</v>
      </c>
      <c r="I763" s="297" t="s">
        <v>1746</v>
      </c>
      <c r="J763" s="297" t="s">
        <v>1725</v>
      </c>
      <c r="K763" s="298" t="s">
        <v>15855</v>
      </c>
      <c r="L763" s="298" t="s">
        <v>15855</v>
      </c>
      <c r="M763" s="298" t="s">
        <v>15855</v>
      </c>
      <c r="N763" s="298" t="s">
        <v>15855</v>
      </c>
      <c r="O763" s="298" t="s">
        <v>15855</v>
      </c>
      <c r="P763" s="299" t="s">
        <v>15857</v>
      </c>
      <c r="Q763" s="300" t="s">
        <v>15855</v>
      </c>
      <c r="R763" s="182" t="str">
        <f ca="1">IF(ISERROR($V763),"",OFFSET('Smelter Look-up'!$C$4,$V763-4,0)&amp;"")</f>
        <v>Alpha</v>
      </c>
      <c r="S763" s="181" t="str">
        <f t="shared" ref="S763" ca="1" si="107">IF(B763="","",IF(ISERROR(MATCH($E763,CL,0)),"Unknown",INDIRECT("'C'!$A$"&amp;MATCH($E763,CL,0)+1)))</f>
        <v>US</v>
      </c>
      <c r="T763" s="181" t="str">
        <f ca="1">IF(B763="","",IF(ISERROR(MATCH($J763,SorP!$B$1:$B$6226,0)),"",INDIRECT("'SorP'!$A$"&amp;MATCH($S763&amp;$J763,SorP!C:C,0))))</f>
        <v>US-PA</v>
      </c>
      <c r="U763" s="201"/>
      <c r="V763" s="226">
        <f>IF(C763="",NA(),IF(OR(C763="Smelter not listed",C763="Smelter not yet identified"),MATCH($B763&amp;$D763,'Smelter Look-up'!$J:$J,0),MATCH($B763&amp;$C763,'Smelter Look-up'!$J:$J,0)))</f>
        <v>400</v>
      </c>
      <c r="X763" s="227">
        <f t="shared" ref="X763" si="108">IF(AND(C763="Smelter not listed",OR(LEN(D763)=0,LEN(E763)=0)),1,0)</f>
        <v>0</v>
      </c>
      <c r="AB763" s="228" t="str">
        <f t="shared" ref="AB763" si="109">B763&amp;C763</f>
        <v>TinAlpha</v>
      </c>
    </row>
    <row r="764" spans="1:28" s="227" customFormat="1" ht="27">
      <c r="A764" s="301" t="s">
        <v>758</v>
      </c>
      <c r="B764" s="293" t="s">
        <v>1120</v>
      </c>
      <c r="C764" s="294" t="s">
        <v>47</v>
      </c>
      <c r="D764" s="295" t="s">
        <v>47</v>
      </c>
      <c r="E764" s="293" t="s">
        <v>2415</v>
      </c>
      <c r="F764" s="293" t="s">
        <v>758</v>
      </c>
      <c r="G764" s="293" t="s">
        <v>13217</v>
      </c>
      <c r="H764" s="296" t="s">
        <v>15855</v>
      </c>
      <c r="I764" s="297" t="s">
        <v>1746</v>
      </c>
      <c r="J764" s="297" t="s">
        <v>1725</v>
      </c>
      <c r="K764" s="298" t="s">
        <v>15855</v>
      </c>
      <c r="L764" s="298" t="s">
        <v>15855</v>
      </c>
      <c r="M764" s="298" t="s">
        <v>15855</v>
      </c>
      <c r="N764" s="298" t="s">
        <v>15855</v>
      </c>
      <c r="O764" s="298" t="s">
        <v>15855</v>
      </c>
      <c r="P764" s="299" t="s">
        <v>15857</v>
      </c>
      <c r="Q764" s="300" t="s">
        <v>16531</v>
      </c>
      <c r="R764" s="182" t="str">
        <f ca="1">IF(ISERROR($V764),"",OFFSET('Smelter Look-up'!$C$4,$V764-4,0)&amp;"")</f>
        <v>Alpha</v>
      </c>
      <c r="S764" s="181" t="str">
        <f t="shared" ref="S764:S795" ca="1" si="110">IF(B764="","",IF(ISERROR(MATCH($E764,CL,0)),"Unknown",INDIRECT("'C'!$A$"&amp;MATCH($E764,CL,0)+1)))</f>
        <v>US</v>
      </c>
      <c r="T764" s="181" t="str">
        <f ca="1">IF(B764="","",IF(ISERROR(MATCH($J764,SorP!$B$1:$B$6226,0)),"",INDIRECT("'SorP'!$A$"&amp;MATCH($S764&amp;$J764,SorP!C:C,0))))</f>
        <v>US-PA</v>
      </c>
      <c r="U764" s="201"/>
      <c r="V764" s="226">
        <f>IF(C764="",NA(),IF(OR(C764="Smelter not listed",C764="Smelter not yet identified"),MATCH($B764&amp;$D764,'Smelter Look-up'!$J:$J,0),MATCH($B764&amp;$C764,'Smelter Look-up'!$J:$J,0)))</f>
        <v>400</v>
      </c>
      <c r="X764" s="227">
        <f t="shared" ref="X764:X795" si="111">IF(AND(C764="Smelter not listed",OR(LEN(D764)=0,LEN(E764)=0)),1,0)</f>
        <v>0</v>
      </c>
      <c r="AB764" s="228" t="str">
        <f t="shared" ref="AB764:AB795" si="112">B764&amp;C764</f>
        <v>TinAlpha</v>
      </c>
    </row>
    <row r="765" spans="1:28" s="227" customFormat="1" ht="27">
      <c r="A765" s="301" t="s">
        <v>758</v>
      </c>
      <c r="B765" s="293" t="s">
        <v>1120</v>
      </c>
      <c r="C765" s="294" t="s">
        <v>47</v>
      </c>
      <c r="D765" s="295" t="s">
        <v>47</v>
      </c>
      <c r="E765" s="293" t="s">
        <v>2415</v>
      </c>
      <c r="F765" s="293" t="s">
        <v>758</v>
      </c>
      <c r="G765" s="293" t="s">
        <v>13217</v>
      </c>
      <c r="H765" s="296" t="s">
        <v>15855</v>
      </c>
      <c r="I765" s="297" t="s">
        <v>1746</v>
      </c>
      <c r="J765" s="297" t="s">
        <v>1725</v>
      </c>
      <c r="K765" s="298" t="s">
        <v>15855</v>
      </c>
      <c r="L765" s="298" t="s">
        <v>15855</v>
      </c>
      <c r="M765" s="298" t="s">
        <v>15855</v>
      </c>
      <c r="N765" s="298" t="s">
        <v>15855</v>
      </c>
      <c r="O765" s="298" t="s">
        <v>15858</v>
      </c>
      <c r="P765" s="299" t="s">
        <v>15857</v>
      </c>
      <c r="Q765" s="300" t="s">
        <v>15855</v>
      </c>
      <c r="R765" s="182" t="str">
        <f ca="1">IF(ISERROR($V765),"",OFFSET('Smelter Look-up'!$C$4,$V765-4,0)&amp;"")</f>
        <v>Alpha</v>
      </c>
      <c r="S765" s="181" t="str">
        <f t="shared" ca="1" si="110"/>
        <v>US</v>
      </c>
      <c r="T765" s="181" t="str">
        <f ca="1">IF(B765="","",IF(ISERROR(MATCH($J765,SorP!$B$1:$B$6226,0)),"",INDIRECT("'SorP'!$A$"&amp;MATCH($S765&amp;$J765,SorP!C:C,0))))</f>
        <v>US-PA</v>
      </c>
      <c r="U765" s="201"/>
      <c r="V765" s="226">
        <f>IF(C765="",NA(),IF(OR(C765="Smelter not listed",C765="Smelter not yet identified"),MATCH($B765&amp;$D765,'Smelter Look-up'!$J:$J,0),MATCH($B765&amp;$C765,'Smelter Look-up'!$J:$J,0)))</f>
        <v>400</v>
      </c>
      <c r="X765" s="227">
        <f t="shared" si="111"/>
        <v>0</v>
      </c>
      <c r="AB765" s="228" t="str">
        <f t="shared" si="112"/>
        <v>TinAlpha</v>
      </c>
    </row>
    <row r="766" spans="1:28" s="227" customFormat="1" ht="27">
      <c r="A766" s="301" t="s">
        <v>758</v>
      </c>
      <c r="B766" s="293" t="s">
        <v>1120</v>
      </c>
      <c r="C766" s="294" t="s">
        <v>47</v>
      </c>
      <c r="D766" s="295" t="s">
        <v>47</v>
      </c>
      <c r="E766" s="293" t="s">
        <v>2415</v>
      </c>
      <c r="F766" s="293" t="s">
        <v>758</v>
      </c>
      <c r="G766" s="293" t="s">
        <v>13217</v>
      </c>
      <c r="H766" s="296" t="s">
        <v>15855</v>
      </c>
      <c r="I766" s="297" t="s">
        <v>1746</v>
      </c>
      <c r="J766" s="297" t="s">
        <v>1725</v>
      </c>
      <c r="K766" s="298" t="s">
        <v>16532</v>
      </c>
      <c r="L766" s="298" t="s">
        <v>16533</v>
      </c>
      <c r="M766" s="298" t="s">
        <v>15869</v>
      </c>
      <c r="N766" s="298" t="s">
        <v>15862</v>
      </c>
      <c r="O766" s="298" t="s">
        <v>16534</v>
      </c>
      <c r="P766" s="299" t="s">
        <v>15857</v>
      </c>
      <c r="Q766" s="300" t="s">
        <v>15855</v>
      </c>
      <c r="R766" s="182" t="str">
        <f ca="1">IF(ISERROR($V766),"",OFFSET('Smelter Look-up'!$C$4,$V766-4,0)&amp;"")</f>
        <v>Alpha</v>
      </c>
      <c r="S766" s="181" t="str">
        <f t="shared" ca="1" si="110"/>
        <v>US</v>
      </c>
      <c r="T766" s="181" t="str">
        <f ca="1">IF(B766="","",IF(ISERROR(MATCH($J766,SorP!$B$1:$B$6226,0)),"",INDIRECT("'SorP'!$A$"&amp;MATCH($S766&amp;$J766,SorP!C:C,0))))</f>
        <v>US-PA</v>
      </c>
      <c r="U766" s="201"/>
      <c r="V766" s="226">
        <f>IF(C766="",NA(),IF(OR(C766="Smelter not listed",C766="Smelter not yet identified"),MATCH($B766&amp;$D766,'Smelter Look-up'!$J:$J,0),MATCH($B766&amp;$C766,'Smelter Look-up'!$J:$J,0)))</f>
        <v>400</v>
      </c>
      <c r="X766" s="227">
        <f t="shared" si="111"/>
        <v>0</v>
      </c>
      <c r="AB766" s="228" t="str">
        <f t="shared" si="112"/>
        <v>TinAlpha</v>
      </c>
    </row>
    <row r="767" spans="1:28" s="227" customFormat="1" ht="27">
      <c r="A767" s="301" t="s">
        <v>758</v>
      </c>
      <c r="B767" s="293" t="s">
        <v>1120</v>
      </c>
      <c r="C767" s="294" t="s">
        <v>47</v>
      </c>
      <c r="D767" s="295" t="s">
        <v>47</v>
      </c>
      <c r="E767" s="293" t="s">
        <v>2415</v>
      </c>
      <c r="F767" s="293" t="s">
        <v>758</v>
      </c>
      <c r="G767" s="293" t="s">
        <v>13217</v>
      </c>
      <c r="H767" s="302" t="s">
        <v>15880</v>
      </c>
      <c r="I767" s="297" t="s">
        <v>1746</v>
      </c>
      <c r="J767" s="297" t="s">
        <v>1725</v>
      </c>
      <c r="K767" s="298" t="s">
        <v>15855</v>
      </c>
      <c r="L767" s="298" t="s">
        <v>15855</v>
      </c>
      <c r="M767" s="298" t="s">
        <v>15855</v>
      </c>
      <c r="N767" s="298" t="s">
        <v>15855</v>
      </c>
      <c r="O767" s="298" t="s">
        <v>15855</v>
      </c>
      <c r="P767" s="299" t="s">
        <v>15857</v>
      </c>
      <c r="Q767" s="300" t="s">
        <v>15855</v>
      </c>
      <c r="R767" s="182" t="str">
        <f ca="1">IF(ISERROR($V767),"",OFFSET('Smelter Look-up'!$C$4,$V767-4,0)&amp;"")</f>
        <v>Alpha</v>
      </c>
      <c r="S767" s="181" t="str">
        <f t="shared" ca="1" si="110"/>
        <v>US</v>
      </c>
      <c r="T767" s="181" t="str">
        <f ca="1">IF(B767="","",IF(ISERROR(MATCH($J767,SorP!$B$1:$B$6226,0)),"",INDIRECT("'SorP'!$A$"&amp;MATCH($S767&amp;$J767,SorP!C:C,0))))</f>
        <v>US-PA</v>
      </c>
      <c r="U767" s="201"/>
      <c r="V767" s="226">
        <f>IF(C767="",NA(),IF(OR(C767="Smelter not listed",C767="Smelter not yet identified"),MATCH($B767&amp;$D767,'Smelter Look-up'!$J:$J,0),MATCH($B767&amp;$C767,'Smelter Look-up'!$J:$J,0)))</f>
        <v>400</v>
      </c>
      <c r="X767" s="227">
        <f t="shared" si="111"/>
        <v>0</v>
      </c>
      <c r="AB767" s="228" t="str">
        <f t="shared" si="112"/>
        <v>TinAlpha</v>
      </c>
    </row>
    <row r="768" spans="1:28" s="227" customFormat="1" ht="27">
      <c r="A768" s="301" t="s">
        <v>758</v>
      </c>
      <c r="B768" s="293" t="s">
        <v>1120</v>
      </c>
      <c r="C768" s="294" t="s">
        <v>1749</v>
      </c>
      <c r="D768" s="295" t="s">
        <v>47</v>
      </c>
      <c r="E768" s="293" t="s">
        <v>2415</v>
      </c>
      <c r="F768" s="293" t="s">
        <v>758</v>
      </c>
      <c r="G768" s="293" t="s">
        <v>13217</v>
      </c>
      <c r="H768" s="296" t="s">
        <v>15855</v>
      </c>
      <c r="I768" s="297" t="s">
        <v>1746</v>
      </c>
      <c r="J768" s="297" t="s">
        <v>1725</v>
      </c>
      <c r="K768" s="298" t="s">
        <v>15855</v>
      </c>
      <c r="L768" s="298" t="s">
        <v>15855</v>
      </c>
      <c r="M768" s="298" t="s">
        <v>15855</v>
      </c>
      <c r="N768" s="298" t="s">
        <v>15855</v>
      </c>
      <c r="O768" s="298" t="s">
        <v>15855</v>
      </c>
      <c r="P768" s="299" t="s">
        <v>15857</v>
      </c>
      <c r="Q768" s="300" t="s">
        <v>15855</v>
      </c>
      <c r="R768" s="182" t="str">
        <f ca="1">IF(ISERROR($V768),"",OFFSET('Smelter Look-up'!$C$4,$V768-4,0)&amp;"")</f>
        <v>Alpha</v>
      </c>
      <c r="S768" s="181" t="str">
        <f t="shared" ca="1" si="110"/>
        <v>US</v>
      </c>
      <c r="T768" s="181" t="str">
        <f ca="1">IF(B768="","",IF(ISERROR(MATCH($J768,SorP!$B$1:$B$6226,0)),"",INDIRECT("'SorP'!$A$"&amp;MATCH($S768&amp;$J768,SorP!C:C,0))))</f>
        <v>US-PA</v>
      </c>
      <c r="U768" s="201"/>
      <c r="V768" s="226">
        <f>IF(C768="",NA(),IF(OR(C768="Smelter not listed",C768="Smelter not yet identified"),MATCH($B768&amp;$D768,'Smelter Look-up'!$J:$J,0),MATCH($B768&amp;$C768,'Smelter Look-up'!$J:$J,0)))</f>
        <v>401</v>
      </c>
      <c r="X768" s="227">
        <f t="shared" si="111"/>
        <v>0</v>
      </c>
      <c r="AB768" s="228" t="str">
        <f t="shared" si="112"/>
        <v>TinAlpha Metals</v>
      </c>
    </row>
    <row r="769" spans="1:28" s="227" customFormat="1" ht="54">
      <c r="A769" s="301" t="s">
        <v>758</v>
      </c>
      <c r="B769" s="293" t="s">
        <v>1120</v>
      </c>
      <c r="C769" s="294" t="s">
        <v>2209</v>
      </c>
      <c r="D769" s="295" t="s">
        <v>47</v>
      </c>
      <c r="E769" s="293" t="s">
        <v>2415</v>
      </c>
      <c r="F769" s="293" t="s">
        <v>758</v>
      </c>
      <c r="G769" s="293" t="s">
        <v>13217</v>
      </c>
      <c r="H769" s="296" t="s">
        <v>15855</v>
      </c>
      <c r="I769" s="297" t="s">
        <v>1746</v>
      </c>
      <c r="J769" s="297" t="s">
        <v>1725</v>
      </c>
      <c r="K769" s="298" t="s">
        <v>15855</v>
      </c>
      <c r="L769" s="298" t="s">
        <v>15855</v>
      </c>
      <c r="M769" s="298" t="s">
        <v>15855</v>
      </c>
      <c r="N769" s="298" t="s">
        <v>15855</v>
      </c>
      <c r="O769" s="298" t="s">
        <v>15855</v>
      </c>
      <c r="P769" s="299" t="s">
        <v>15857</v>
      </c>
      <c r="Q769" s="300" t="s">
        <v>15855</v>
      </c>
      <c r="R769" s="182" t="str">
        <f ca="1">IF(ISERROR($V769),"",OFFSET('Smelter Look-up'!$C$4,$V769-4,0)&amp;"")</f>
        <v>Alpha</v>
      </c>
      <c r="S769" s="181" t="str">
        <f t="shared" ca="1" si="110"/>
        <v>US</v>
      </c>
      <c r="T769" s="181" t="str">
        <f ca="1">IF(B769="","",IF(ISERROR(MATCH($J769,SorP!$B$1:$B$6226,0)),"",INDIRECT("'SorP'!$A$"&amp;MATCH($S769&amp;$J769,SorP!C:C,0))))</f>
        <v>US-PA</v>
      </c>
      <c r="U769" s="201"/>
      <c r="V769" s="226">
        <f>IF(C769="",NA(),IF(OR(C769="Smelter not listed",C769="Smelter not yet identified"),MATCH($B769&amp;$D769,'Smelter Look-up'!$J:$J,0),MATCH($B769&amp;$C769,'Smelter Look-up'!$J:$J,0)))</f>
        <v>402</v>
      </c>
      <c r="X769" s="227">
        <f t="shared" si="111"/>
        <v>0</v>
      </c>
      <c r="AB769" s="228" t="str">
        <f t="shared" si="112"/>
        <v>TinAlpha Metals Korea Ltd.</v>
      </c>
    </row>
    <row r="770" spans="1:28" s="227" customFormat="1" ht="40.5">
      <c r="A770" s="301" t="s">
        <v>758</v>
      </c>
      <c r="B770" s="293" t="s">
        <v>1120</v>
      </c>
      <c r="C770" s="294" t="s">
        <v>1748</v>
      </c>
      <c r="D770" s="295" t="s">
        <v>47</v>
      </c>
      <c r="E770" s="293" t="s">
        <v>2415</v>
      </c>
      <c r="F770" s="293" t="s">
        <v>758</v>
      </c>
      <c r="G770" s="293" t="s">
        <v>13217</v>
      </c>
      <c r="H770" s="296" t="s">
        <v>15855</v>
      </c>
      <c r="I770" s="297" t="s">
        <v>1746</v>
      </c>
      <c r="J770" s="297" t="s">
        <v>1725</v>
      </c>
      <c r="K770" s="298" t="s">
        <v>15855</v>
      </c>
      <c r="L770" s="298" t="s">
        <v>15855</v>
      </c>
      <c r="M770" s="298" t="s">
        <v>15855</v>
      </c>
      <c r="N770" s="298" t="s">
        <v>15855</v>
      </c>
      <c r="O770" s="298" t="s">
        <v>15855</v>
      </c>
      <c r="P770" s="299" t="s">
        <v>15857</v>
      </c>
      <c r="Q770" s="300" t="s">
        <v>15855</v>
      </c>
      <c r="R770" s="182" t="str">
        <f ca="1">IF(ISERROR($V770),"",OFFSET('Smelter Look-up'!$C$4,$V770-4,0)&amp;"")</f>
        <v>Alpha</v>
      </c>
      <c r="S770" s="181" t="str">
        <f t="shared" ca="1" si="110"/>
        <v>US</v>
      </c>
      <c r="T770" s="181" t="str">
        <f ca="1">IF(B770="","",IF(ISERROR(MATCH($J770,SorP!$B$1:$B$6226,0)),"",INDIRECT("'SorP'!$A$"&amp;MATCH($S770&amp;$J770,SorP!C:C,0))))</f>
        <v>US-PA</v>
      </c>
      <c r="U770" s="201"/>
      <c r="V770" s="226">
        <f>IF(C770="",NA(),IF(OR(C770="Smelter not listed",C770="Smelter not yet identified"),MATCH($B770&amp;$D770,'Smelter Look-up'!$J:$J,0),MATCH($B770&amp;$C770,'Smelter Look-up'!$J:$J,0)))</f>
        <v>403</v>
      </c>
      <c r="X770" s="227">
        <f t="shared" si="111"/>
        <v>0</v>
      </c>
      <c r="AB770" s="228" t="str">
        <f t="shared" si="112"/>
        <v>TinAlpha Metals Taiwan</v>
      </c>
    </row>
    <row r="771" spans="1:28" s="227" customFormat="1" ht="27">
      <c r="A771" s="301" t="s">
        <v>758</v>
      </c>
      <c r="B771" s="293" t="s">
        <v>1120</v>
      </c>
      <c r="C771" s="294" t="s">
        <v>831</v>
      </c>
      <c r="D771" s="295" t="s">
        <v>47</v>
      </c>
      <c r="E771" s="293" t="s">
        <v>2415</v>
      </c>
      <c r="F771" s="293" t="s">
        <v>758</v>
      </c>
      <c r="G771" s="293" t="s">
        <v>13217</v>
      </c>
      <c r="H771" s="296" t="s">
        <v>15855</v>
      </c>
      <c r="I771" s="297" t="s">
        <v>1746</v>
      </c>
      <c r="J771" s="297" t="s">
        <v>1725</v>
      </c>
      <c r="K771" s="298" t="s">
        <v>15855</v>
      </c>
      <c r="L771" s="298" t="s">
        <v>15855</v>
      </c>
      <c r="M771" s="298" t="s">
        <v>15855</v>
      </c>
      <c r="N771" s="298" t="s">
        <v>15855</v>
      </c>
      <c r="O771" s="298" t="s">
        <v>15855</v>
      </c>
      <c r="P771" s="299" t="s">
        <v>15857</v>
      </c>
      <c r="Q771" s="300" t="s">
        <v>15855</v>
      </c>
      <c r="R771" s="182" t="str">
        <f ca="1">IF(ISERROR($V771),"",OFFSET('Smelter Look-up'!$C$4,$V771-4,0)&amp;"")</f>
        <v>Alpha</v>
      </c>
      <c r="S771" s="181" t="str">
        <f t="shared" ca="1" si="110"/>
        <v>US</v>
      </c>
      <c r="T771" s="181" t="str">
        <f ca="1">IF(B771="","",IF(ISERROR(MATCH($J771,SorP!$B$1:$B$6226,0)),"",INDIRECT("'SorP'!$A$"&amp;MATCH($S771&amp;$J771,SorP!C:C,0))))</f>
        <v>US-PA</v>
      </c>
      <c r="U771" s="201"/>
      <c r="V771" s="226">
        <f>IF(C771="",NA(),IF(OR(C771="Smelter not listed",C771="Smelter not yet identified"),MATCH($B771&amp;$D771,'Smelter Look-up'!$J:$J,0),MATCH($B771&amp;$C771,'Smelter Look-up'!$J:$J,0)))</f>
        <v>417</v>
      </c>
      <c r="X771" s="227">
        <f t="shared" si="111"/>
        <v>0</v>
      </c>
      <c r="AB771" s="228" t="str">
        <f t="shared" si="112"/>
        <v>TinCookson</v>
      </c>
    </row>
    <row r="772" spans="1:28" s="227" customFormat="1" ht="67.5">
      <c r="A772" s="301" t="s">
        <v>758</v>
      </c>
      <c r="B772" s="293" t="s">
        <v>1120</v>
      </c>
      <c r="C772" s="294" t="s">
        <v>1750</v>
      </c>
      <c r="D772" s="295" t="s">
        <v>47</v>
      </c>
      <c r="E772" s="293" t="s">
        <v>2415</v>
      </c>
      <c r="F772" s="293" t="s">
        <v>758</v>
      </c>
      <c r="G772" s="293" t="s">
        <v>15865</v>
      </c>
      <c r="H772" s="296" t="s">
        <v>15855</v>
      </c>
      <c r="I772" s="297" t="s">
        <v>1746</v>
      </c>
      <c r="J772" s="297" t="s">
        <v>1725</v>
      </c>
      <c r="K772" s="298" t="s">
        <v>15855</v>
      </c>
      <c r="L772" s="298" t="s">
        <v>15855</v>
      </c>
      <c r="M772" s="298" t="s">
        <v>15855</v>
      </c>
      <c r="N772" s="298" t="s">
        <v>15855</v>
      </c>
      <c r="O772" s="298" t="s">
        <v>15855</v>
      </c>
      <c r="P772" s="299" t="s">
        <v>15857</v>
      </c>
      <c r="Q772" s="300" t="s">
        <v>15855</v>
      </c>
      <c r="R772" s="182" t="str">
        <f ca="1">IF(ISERROR($V772),"",OFFSET('Smelter Look-up'!$C$4,$V772-4,0)&amp;"")</f>
        <v>Alpha</v>
      </c>
      <c r="S772" s="181" t="str">
        <f t="shared" ca="1" si="110"/>
        <v>US</v>
      </c>
      <c r="T772" s="181" t="str">
        <f ca="1">IF(B772="","",IF(ISERROR(MATCH($J772,SorP!$B$1:$B$6226,0)),"",INDIRECT("'SorP'!$A$"&amp;MATCH($S772&amp;$J772,SorP!C:C,0))))</f>
        <v>US-PA</v>
      </c>
      <c r="U772" s="201"/>
      <c r="V772" s="226">
        <f>IF(C772="",NA(),IF(OR(C772="Smelter not listed",C772="Smelter not yet identified"),MATCH($B772&amp;$D772,'Smelter Look-up'!$J:$J,0),MATCH($B772&amp;$C772,'Smelter Look-up'!$J:$J,0)))</f>
        <v>418</v>
      </c>
      <c r="X772" s="227">
        <f t="shared" si="111"/>
        <v>0</v>
      </c>
      <c r="AB772" s="228" t="str">
        <f t="shared" si="112"/>
        <v>TinCookson (Alpha Metals Taiwan)</v>
      </c>
    </row>
    <row r="773" spans="1:28" s="227" customFormat="1" ht="67.5">
      <c r="A773" s="301" t="s">
        <v>758</v>
      </c>
      <c r="B773" s="293" t="s">
        <v>1120</v>
      </c>
      <c r="C773" s="294" t="s">
        <v>1750</v>
      </c>
      <c r="D773" s="295" t="s">
        <v>47</v>
      </c>
      <c r="E773" s="293" t="s">
        <v>2415</v>
      </c>
      <c r="F773" s="293" t="s">
        <v>758</v>
      </c>
      <c r="G773" s="293" t="s">
        <v>13217</v>
      </c>
      <c r="H773" s="296" t="s">
        <v>15855</v>
      </c>
      <c r="I773" s="297" t="s">
        <v>1746</v>
      </c>
      <c r="J773" s="297" t="s">
        <v>1725</v>
      </c>
      <c r="K773" s="298" t="s">
        <v>15855</v>
      </c>
      <c r="L773" s="298" t="s">
        <v>15855</v>
      </c>
      <c r="M773" s="298" t="s">
        <v>15855</v>
      </c>
      <c r="N773" s="298" t="s">
        <v>15855</v>
      </c>
      <c r="O773" s="298" t="s">
        <v>15855</v>
      </c>
      <c r="P773" s="299" t="s">
        <v>15857</v>
      </c>
      <c r="Q773" s="300" t="s">
        <v>15855</v>
      </c>
      <c r="R773" s="182" t="str">
        <f ca="1">IF(ISERROR($V773),"",OFFSET('Smelter Look-up'!$C$4,$V773-4,0)&amp;"")</f>
        <v>Alpha</v>
      </c>
      <c r="S773" s="181" t="str">
        <f t="shared" ca="1" si="110"/>
        <v>US</v>
      </c>
      <c r="T773" s="181" t="str">
        <f ca="1">IF(B773="","",IF(ISERROR(MATCH($J773,SorP!$B$1:$B$6226,0)),"",INDIRECT("'SorP'!$A$"&amp;MATCH($S773&amp;$J773,SorP!C:C,0))))</f>
        <v>US-PA</v>
      </c>
      <c r="U773" s="201"/>
      <c r="V773" s="226">
        <f>IF(C773="",NA(),IF(OR(C773="Smelter not listed",C773="Smelter not yet identified"),MATCH($B773&amp;$D773,'Smelter Look-up'!$J:$J,0),MATCH($B773&amp;$C773,'Smelter Look-up'!$J:$J,0)))</f>
        <v>418</v>
      </c>
      <c r="X773" s="227">
        <f t="shared" si="111"/>
        <v>0</v>
      </c>
      <c r="AB773" s="228" t="str">
        <f t="shared" si="112"/>
        <v>TinCookson (Alpha Metals Taiwan)</v>
      </c>
    </row>
    <row r="774" spans="1:28" s="227" customFormat="1" ht="54">
      <c r="A774" s="301" t="s">
        <v>16535</v>
      </c>
      <c r="B774" s="293" t="s">
        <v>1120</v>
      </c>
      <c r="C774" s="294" t="s">
        <v>16536</v>
      </c>
      <c r="D774" s="295" t="s">
        <v>16536</v>
      </c>
      <c r="E774" s="293" t="s">
        <v>882</v>
      </c>
      <c r="F774" s="293" t="s">
        <v>16535</v>
      </c>
      <c r="G774" s="293" t="s">
        <v>15864</v>
      </c>
      <c r="H774" s="296" t="s">
        <v>15855</v>
      </c>
      <c r="I774" s="297" t="s">
        <v>1796</v>
      </c>
      <c r="J774" s="297" t="s">
        <v>16537</v>
      </c>
      <c r="K774" s="298" t="s">
        <v>15855</v>
      </c>
      <c r="L774" s="298" t="s">
        <v>15855</v>
      </c>
      <c r="M774" s="298" t="s">
        <v>2334</v>
      </c>
      <c r="N774" s="298" t="s">
        <v>15855</v>
      </c>
      <c r="O774" s="298" t="s">
        <v>15855</v>
      </c>
      <c r="P774" s="299" t="s">
        <v>15857</v>
      </c>
      <c r="Q774" s="300" t="s">
        <v>15855</v>
      </c>
      <c r="R774" s="182" t="str">
        <f ca="1">IF(ISERROR($V774),"",OFFSET('Smelter Look-up'!$C$4,$V774-4,0)&amp;"")</f>
        <v/>
      </c>
      <c r="S774" s="181" t="str">
        <f t="shared" ca="1" si="110"/>
        <v>VN</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si="111"/>
        <v>0</v>
      </c>
      <c r="AB774" s="228" t="str">
        <f t="shared" si="112"/>
        <v>TinAn Thai Minerals Co., Ltd.</v>
      </c>
    </row>
    <row r="775" spans="1:28" s="227" customFormat="1" ht="121.5">
      <c r="A775" s="301" t="s">
        <v>2121</v>
      </c>
      <c r="B775" s="293" t="s">
        <v>1120</v>
      </c>
      <c r="C775" s="294" t="s">
        <v>2120</v>
      </c>
      <c r="D775" s="295" t="s">
        <v>2120</v>
      </c>
      <c r="E775" s="293" t="s">
        <v>882</v>
      </c>
      <c r="F775" s="293" t="s">
        <v>2121</v>
      </c>
      <c r="G775" s="293" t="s">
        <v>13217</v>
      </c>
      <c r="H775" s="296" t="s">
        <v>15855</v>
      </c>
      <c r="I775" s="297" t="s">
        <v>1796</v>
      </c>
      <c r="J775" s="297" t="s">
        <v>12106</v>
      </c>
      <c r="K775" s="298" t="s">
        <v>15855</v>
      </c>
      <c r="L775" s="298" t="s">
        <v>15855</v>
      </c>
      <c r="M775" s="298" t="s">
        <v>15855</v>
      </c>
      <c r="N775" s="298" t="s">
        <v>15855</v>
      </c>
      <c r="O775" s="298" t="s">
        <v>15855</v>
      </c>
      <c r="P775" s="299" t="s">
        <v>15857</v>
      </c>
      <c r="Q775" s="300" t="s">
        <v>15855</v>
      </c>
      <c r="R775" s="182" t="str">
        <f ca="1">IF(ISERROR($V775),"",OFFSET('Smelter Look-up'!$C$4,$V775-4,0)&amp;"")</f>
        <v>An Vinh Joint Stock Mineral Processing Company</v>
      </c>
      <c r="S775" s="181" t="str">
        <f t="shared" ca="1" si="110"/>
        <v>VN</v>
      </c>
      <c r="T775" s="181" t="str">
        <f ca="1">IF(B775="","",IF(ISERROR(MATCH($J775,SorP!$B$1:$B$6226,0)),"",INDIRECT("'SorP'!$A$"&amp;MATCH($S775&amp;$J775,SorP!C:C,0))))</f>
        <v>VN-22</v>
      </c>
      <c r="U775" s="201"/>
      <c r="V775" s="226">
        <f>IF(C775="",NA(),IF(OR(C775="Smelter not listed",C775="Smelter not yet identified"),MATCH($B775&amp;$D775,'Smelter Look-up'!$J:$J,0),MATCH($B775&amp;$C775,'Smelter Look-up'!$J:$J,0)))</f>
        <v>404</v>
      </c>
      <c r="X775" s="227">
        <f t="shared" si="111"/>
        <v>0</v>
      </c>
      <c r="AB775" s="228" t="str">
        <f t="shared" si="112"/>
        <v>TinAn Vinh Joint Stock Mineral Processing Company</v>
      </c>
    </row>
    <row r="776" spans="1:28" s="227" customFormat="1" ht="121.5">
      <c r="A776" s="301" t="s">
        <v>2121</v>
      </c>
      <c r="B776" s="293" t="s">
        <v>1120</v>
      </c>
      <c r="C776" s="294" t="s">
        <v>2120</v>
      </c>
      <c r="D776" s="295" t="s">
        <v>2120</v>
      </c>
      <c r="E776" s="293" t="s">
        <v>882</v>
      </c>
      <c r="F776" s="293" t="s">
        <v>2121</v>
      </c>
      <c r="G776" s="293" t="s">
        <v>13217</v>
      </c>
      <c r="H776" s="296" t="s">
        <v>15855</v>
      </c>
      <c r="I776" s="297" t="s">
        <v>1796</v>
      </c>
      <c r="J776" s="297" t="s">
        <v>12106</v>
      </c>
      <c r="K776" s="298" t="s">
        <v>15855</v>
      </c>
      <c r="L776" s="298" t="s">
        <v>15855</v>
      </c>
      <c r="M776" s="298" t="s">
        <v>15855</v>
      </c>
      <c r="N776" s="298" t="s">
        <v>15855</v>
      </c>
      <c r="O776" s="298" t="s">
        <v>15858</v>
      </c>
      <c r="P776" s="299" t="s">
        <v>15857</v>
      </c>
      <c r="Q776" s="300" t="s">
        <v>15855</v>
      </c>
      <c r="R776" s="182" t="str">
        <f ca="1">IF(ISERROR($V776),"",OFFSET('Smelter Look-up'!$C$4,$V776-4,0)&amp;"")</f>
        <v>An Vinh Joint Stock Mineral Processing Company</v>
      </c>
      <c r="S776" s="181" t="str">
        <f t="shared" ca="1" si="110"/>
        <v>VN</v>
      </c>
      <c r="T776" s="181" t="str">
        <f ca="1">IF(B776="","",IF(ISERROR(MATCH($J776,SorP!$B$1:$B$6226,0)),"",INDIRECT("'SorP'!$A$"&amp;MATCH($S776&amp;$J776,SorP!C:C,0))))</f>
        <v>VN-22</v>
      </c>
      <c r="U776" s="201"/>
      <c r="V776" s="226">
        <f>IF(C776="",NA(),IF(OR(C776="Smelter not listed",C776="Smelter not yet identified"),MATCH($B776&amp;$D776,'Smelter Look-up'!$J:$J,0),MATCH($B776&amp;$C776,'Smelter Look-up'!$J:$J,0)))</f>
        <v>404</v>
      </c>
      <c r="X776" s="227">
        <f t="shared" si="111"/>
        <v>0</v>
      </c>
      <c r="AB776" s="228" t="str">
        <f t="shared" si="112"/>
        <v>TinAn Vinh Joint Stock Mineral Processing Company</v>
      </c>
    </row>
    <row r="777" spans="1:28" s="227" customFormat="1" ht="27">
      <c r="A777" s="301" t="s">
        <v>1801</v>
      </c>
      <c r="B777" s="293" t="s">
        <v>1120</v>
      </c>
      <c r="C777" s="294" t="s">
        <v>15496</v>
      </c>
      <c r="D777" s="295" t="s">
        <v>15496</v>
      </c>
      <c r="E777" s="293" t="s">
        <v>1085</v>
      </c>
      <c r="F777" s="293" t="s">
        <v>1801</v>
      </c>
      <c r="G777" s="293" t="s">
        <v>13217</v>
      </c>
      <c r="H777" s="296" t="s">
        <v>15855</v>
      </c>
      <c r="I777" s="297" t="s">
        <v>1802</v>
      </c>
      <c r="J777" s="297" t="s">
        <v>3135</v>
      </c>
      <c r="K777" s="298" t="s">
        <v>15855</v>
      </c>
      <c r="L777" s="298" t="s">
        <v>15855</v>
      </c>
      <c r="M777" s="298" t="s">
        <v>15855</v>
      </c>
      <c r="N777" s="298" t="s">
        <v>15855</v>
      </c>
      <c r="O777" s="298" t="s">
        <v>15855</v>
      </c>
      <c r="P777" s="299" t="s">
        <v>15857</v>
      </c>
      <c r="Q777" s="300" t="s">
        <v>15855</v>
      </c>
      <c r="R777" s="182" t="str">
        <f ca="1">IF(ISERROR($V777),"",OFFSET('Smelter Look-up'!$C$4,$V777-4,0)&amp;"")</f>
        <v>Aurubis Beerse</v>
      </c>
      <c r="S777" s="181" t="str">
        <f t="shared" ca="1" si="110"/>
        <v>BE</v>
      </c>
      <c r="T777" s="181" t="str">
        <f ca="1">IF(B777="","",IF(ISERROR(MATCH($J777,SorP!$B$1:$B$6226,0)),"",INDIRECT("'SorP'!$A$"&amp;MATCH($S777&amp;$J777,SorP!C:C,0))))</f>
        <v>BE-VAN</v>
      </c>
      <c r="U777" s="201"/>
      <c r="V777" s="226">
        <f>IF(C777="",NA(),IF(OR(C777="Smelter not listed",C777="Smelter not yet identified"),MATCH($B777&amp;$D777,'Smelter Look-up'!$J:$J,0),MATCH($B777&amp;$C777,'Smelter Look-up'!$J:$J,0)))</f>
        <v>405</v>
      </c>
      <c r="X777" s="227">
        <f t="shared" si="111"/>
        <v>0</v>
      </c>
      <c r="AB777" s="228" t="str">
        <f t="shared" si="112"/>
        <v>TinAurubis Beerse</v>
      </c>
    </row>
    <row r="778" spans="1:28" s="227" customFormat="1" ht="27">
      <c r="A778" s="301" t="s">
        <v>1801</v>
      </c>
      <c r="B778" s="293" t="s">
        <v>1120</v>
      </c>
      <c r="C778" s="294" t="s">
        <v>15496</v>
      </c>
      <c r="D778" s="295" t="s">
        <v>15496</v>
      </c>
      <c r="E778" s="293" t="s">
        <v>1085</v>
      </c>
      <c r="F778" s="293" t="s">
        <v>1801</v>
      </c>
      <c r="G778" s="293" t="s">
        <v>13217</v>
      </c>
      <c r="H778" s="296" t="s">
        <v>15855</v>
      </c>
      <c r="I778" s="297" t="s">
        <v>1802</v>
      </c>
      <c r="J778" s="297" t="s">
        <v>3135</v>
      </c>
      <c r="K778" s="298" t="s">
        <v>16538</v>
      </c>
      <c r="L778" s="298" t="s">
        <v>16539</v>
      </c>
      <c r="M778" s="298" t="s">
        <v>16345</v>
      </c>
      <c r="N778" s="298" t="s">
        <v>16540</v>
      </c>
      <c r="O778" s="298" t="s">
        <v>16540</v>
      </c>
      <c r="P778" s="299" t="s">
        <v>15857</v>
      </c>
      <c r="Q778" s="300" t="s">
        <v>15855</v>
      </c>
      <c r="R778" s="182" t="str">
        <f ca="1">IF(ISERROR($V778),"",OFFSET('Smelter Look-up'!$C$4,$V778-4,0)&amp;"")</f>
        <v>Aurubis Beerse</v>
      </c>
      <c r="S778" s="181" t="str">
        <f t="shared" ca="1" si="110"/>
        <v>BE</v>
      </c>
      <c r="T778" s="181" t="str">
        <f ca="1">IF(B778="","",IF(ISERROR(MATCH($J778,SorP!$B$1:$B$6226,0)),"",INDIRECT("'SorP'!$A$"&amp;MATCH($S778&amp;$J778,SorP!C:C,0))))</f>
        <v>BE-VAN</v>
      </c>
      <c r="U778" s="201"/>
      <c r="V778" s="226">
        <f>IF(C778="",NA(),IF(OR(C778="Smelter not listed",C778="Smelter not yet identified"),MATCH($B778&amp;$D778,'Smelter Look-up'!$J:$J,0),MATCH($B778&amp;$C778,'Smelter Look-up'!$J:$J,0)))</f>
        <v>405</v>
      </c>
      <c r="X778" s="227">
        <f t="shared" si="111"/>
        <v>0</v>
      </c>
      <c r="AB778" s="228" t="str">
        <f t="shared" si="112"/>
        <v>TinAurubis Beerse</v>
      </c>
    </row>
    <row r="779" spans="1:28" s="227" customFormat="1" ht="27">
      <c r="A779" s="301" t="s">
        <v>1801</v>
      </c>
      <c r="B779" s="293" t="s">
        <v>1120</v>
      </c>
      <c r="C779" s="294" t="s">
        <v>15496</v>
      </c>
      <c r="D779" s="295" t="s">
        <v>15496</v>
      </c>
      <c r="E779" s="293" t="s">
        <v>1085</v>
      </c>
      <c r="F779" s="293" t="s">
        <v>1801</v>
      </c>
      <c r="G779" s="293" t="s">
        <v>13217</v>
      </c>
      <c r="H779" s="302" t="s">
        <v>15880</v>
      </c>
      <c r="I779" s="297" t="s">
        <v>1802</v>
      </c>
      <c r="J779" s="297" t="s">
        <v>3135</v>
      </c>
      <c r="K779" s="298" t="s">
        <v>15855</v>
      </c>
      <c r="L779" s="298" t="s">
        <v>15855</v>
      </c>
      <c r="M779" s="298" t="s">
        <v>15855</v>
      </c>
      <c r="N779" s="298" t="s">
        <v>15855</v>
      </c>
      <c r="O779" s="298" t="s">
        <v>15855</v>
      </c>
      <c r="P779" s="299" t="s">
        <v>15857</v>
      </c>
      <c r="Q779" s="300" t="s">
        <v>15855</v>
      </c>
      <c r="R779" s="182" t="str">
        <f ca="1">IF(ISERROR($V779),"",OFFSET('Smelter Look-up'!$C$4,$V779-4,0)&amp;"")</f>
        <v>Aurubis Beerse</v>
      </c>
      <c r="S779" s="181" t="str">
        <f t="shared" ca="1" si="110"/>
        <v>BE</v>
      </c>
      <c r="T779" s="181" t="str">
        <f ca="1">IF(B779="","",IF(ISERROR(MATCH($J779,SorP!$B$1:$B$6226,0)),"",INDIRECT("'SorP'!$A$"&amp;MATCH($S779&amp;$J779,SorP!C:C,0))))</f>
        <v>BE-VAN</v>
      </c>
      <c r="U779" s="201"/>
      <c r="V779" s="226">
        <f>IF(C779="",NA(),IF(OR(C779="Smelter not listed",C779="Smelter not yet identified"),MATCH($B779&amp;$D779,'Smelter Look-up'!$J:$J,0),MATCH($B779&amp;$C779,'Smelter Look-up'!$J:$J,0)))</f>
        <v>405</v>
      </c>
      <c r="X779" s="227">
        <f t="shared" si="111"/>
        <v>0</v>
      </c>
      <c r="AB779" s="228" t="str">
        <f t="shared" si="112"/>
        <v>TinAurubis Beerse</v>
      </c>
    </row>
    <row r="780" spans="1:28" s="227" customFormat="1" ht="40.5">
      <c r="A780" s="301" t="s">
        <v>1803</v>
      </c>
      <c r="B780" s="293" t="s">
        <v>1120</v>
      </c>
      <c r="C780" s="294" t="s">
        <v>15497</v>
      </c>
      <c r="D780" s="295" t="s">
        <v>15497</v>
      </c>
      <c r="E780" s="293" t="s">
        <v>1092</v>
      </c>
      <c r="F780" s="293" t="s">
        <v>1803</v>
      </c>
      <c r="G780" s="293" t="s">
        <v>13217</v>
      </c>
      <c r="H780" s="296" t="s">
        <v>15855</v>
      </c>
      <c r="I780" s="297" t="s">
        <v>1804</v>
      </c>
      <c r="J780" s="297" t="s">
        <v>12390</v>
      </c>
      <c r="K780" s="298" t="s">
        <v>15855</v>
      </c>
      <c r="L780" s="298" t="s">
        <v>15855</v>
      </c>
      <c r="M780" s="298" t="s">
        <v>15855</v>
      </c>
      <c r="N780" s="298" t="s">
        <v>15855</v>
      </c>
      <c r="O780" s="298" t="s">
        <v>15855</v>
      </c>
      <c r="P780" s="299" t="s">
        <v>15857</v>
      </c>
      <c r="Q780" s="300" t="s">
        <v>15855</v>
      </c>
      <c r="R780" s="182" t="str">
        <f ca="1">IF(ISERROR($V780),"",OFFSET('Smelter Look-up'!$C$4,$V780-4,0)&amp;"")</f>
        <v>Aurubis Berango</v>
      </c>
      <c r="S780" s="181" t="str">
        <f t="shared" ca="1" si="110"/>
        <v>ES</v>
      </c>
      <c r="T780" s="181" t="str">
        <f ca="1">IF(B780="","",IF(ISERROR(MATCH($J780,SorP!$B$1:$B$6226,0)),"",INDIRECT("'SorP'!$A$"&amp;MATCH($S780&amp;$J780,SorP!C:C,0))))</f>
        <v>ES-BI</v>
      </c>
      <c r="U780" s="201"/>
      <c r="V780" s="226">
        <f>IF(C780="",NA(),IF(OR(C780="Smelter not listed",C780="Smelter not yet identified"),MATCH($B780&amp;$D780,'Smelter Look-up'!$J:$J,0),MATCH($B780&amp;$C780,'Smelter Look-up'!$J:$J,0)))</f>
        <v>406</v>
      </c>
      <c r="X780" s="227">
        <f t="shared" si="111"/>
        <v>0</v>
      </c>
      <c r="AB780" s="228" t="str">
        <f t="shared" si="112"/>
        <v>TinAurubis Berango</v>
      </c>
    </row>
    <row r="781" spans="1:28" s="227" customFormat="1" ht="108">
      <c r="A781" s="301" t="s">
        <v>2261</v>
      </c>
      <c r="B781" s="293" t="s">
        <v>1120</v>
      </c>
      <c r="C781" s="294" t="s">
        <v>2248</v>
      </c>
      <c r="D781" s="295" t="s">
        <v>2318</v>
      </c>
      <c r="E781" s="293" t="s">
        <v>1090</v>
      </c>
      <c r="F781" s="293" t="s">
        <v>2261</v>
      </c>
      <c r="G781" s="293" t="s">
        <v>13217</v>
      </c>
      <c r="H781" s="296" t="s">
        <v>15855</v>
      </c>
      <c r="I781" s="297" t="s">
        <v>1760</v>
      </c>
      <c r="J781" s="297" t="s">
        <v>13600</v>
      </c>
      <c r="K781" s="298" t="s">
        <v>15855</v>
      </c>
      <c r="L781" s="298" t="s">
        <v>15855</v>
      </c>
      <c r="M781" s="298" t="s">
        <v>15855</v>
      </c>
      <c r="N781" s="298" t="s">
        <v>15855</v>
      </c>
      <c r="O781" s="298" t="s">
        <v>15855</v>
      </c>
      <c r="P781" s="299" t="s">
        <v>15857</v>
      </c>
      <c r="Q781" s="300" t="s">
        <v>15855</v>
      </c>
      <c r="R781" s="182" t="str">
        <f ca="1">IF(ISERROR($V781),"",OFFSET('Smelter Look-up'!$C$4,$V781-4,0)&amp;"")</f>
        <v>Chenzhou Yunxiang Mining and Metallurgy Co., Ltd.</v>
      </c>
      <c r="S781" s="181" t="str">
        <f t="shared" ca="1" si="110"/>
        <v>CN</v>
      </c>
      <c r="T781" s="181" t="str">
        <f ca="1">IF(B781="","",IF(ISERROR(MATCH($J781,SorP!$B$1:$B$6226,0)),"",INDIRECT("'SorP'!$A$"&amp;MATCH($S781&amp;$J781,SorP!C:C,0))))</f>
        <v>CN-HN</v>
      </c>
      <c r="U781" s="201"/>
      <c r="V781" s="226">
        <f>IF(C781="",NA(),IF(OR(C781="Smelter not listed",C781="Smelter not yet identified"),MATCH($B781&amp;$D781,'Smelter Look-up'!$J:$J,0),MATCH($B781&amp;$C781,'Smelter Look-up'!$J:$J,0)))</f>
        <v>410</v>
      </c>
      <c r="X781" s="227">
        <f t="shared" si="111"/>
        <v>0</v>
      </c>
      <c r="AB781" s="228" t="str">
        <f t="shared" si="112"/>
        <v>TinChenzhou Yun Xiang mining limited liability company</v>
      </c>
    </row>
    <row r="782" spans="1:28" s="227" customFormat="1" ht="108">
      <c r="A782" s="301" t="s">
        <v>2261</v>
      </c>
      <c r="B782" s="293" t="s">
        <v>1120</v>
      </c>
      <c r="C782" s="294" t="s">
        <v>2318</v>
      </c>
      <c r="D782" s="295" t="s">
        <v>2318</v>
      </c>
      <c r="E782" s="293" t="s">
        <v>1090</v>
      </c>
      <c r="F782" s="293" t="s">
        <v>2261</v>
      </c>
      <c r="G782" s="293" t="s">
        <v>13217</v>
      </c>
      <c r="H782" s="296" t="s">
        <v>15855</v>
      </c>
      <c r="I782" s="297" t="s">
        <v>1760</v>
      </c>
      <c r="J782" s="297" t="s">
        <v>13600</v>
      </c>
      <c r="K782" s="298" t="s">
        <v>15855</v>
      </c>
      <c r="L782" s="298" t="s">
        <v>15855</v>
      </c>
      <c r="M782" s="298" t="s">
        <v>15855</v>
      </c>
      <c r="N782" s="298" t="s">
        <v>15855</v>
      </c>
      <c r="O782" s="298" t="s">
        <v>15855</v>
      </c>
      <c r="P782" s="299" t="s">
        <v>15857</v>
      </c>
      <c r="Q782" s="300" t="s">
        <v>15855</v>
      </c>
      <c r="R782" s="182" t="str">
        <f ca="1">IF(ISERROR($V782),"",OFFSET('Smelter Look-up'!$C$4,$V782-4,0)&amp;"")</f>
        <v>Chenzhou Yunxiang Mining and Metallurgy Co., Ltd.</v>
      </c>
      <c r="S782" s="181" t="str">
        <f t="shared" ca="1" si="110"/>
        <v>CN</v>
      </c>
      <c r="T782" s="181" t="str">
        <f ca="1">IF(B782="","",IF(ISERROR(MATCH($J782,SorP!$B$1:$B$6226,0)),"",INDIRECT("'SorP'!$A$"&amp;MATCH($S782&amp;$J782,SorP!C:C,0))))</f>
        <v>CN-HN</v>
      </c>
      <c r="U782" s="201"/>
      <c r="V782" s="226">
        <f>IF(C782="",NA(),IF(OR(C782="Smelter not listed",C782="Smelter not yet identified"),MATCH($B782&amp;$D782,'Smelter Look-up'!$J:$J,0),MATCH($B782&amp;$C782,'Smelter Look-up'!$J:$J,0)))</f>
        <v>411</v>
      </c>
      <c r="X782" s="227">
        <f t="shared" si="111"/>
        <v>0</v>
      </c>
      <c r="AB782" s="228" t="str">
        <f t="shared" si="112"/>
        <v>TinChenzhou Yunxiang Mining and Metallurgy Co., Ltd.</v>
      </c>
    </row>
    <row r="783" spans="1:28" s="227" customFormat="1" ht="108">
      <c r="A783" s="301" t="s">
        <v>2261</v>
      </c>
      <c r="B783" s="293" t="s">
        <v>1120</v>
      </c>
      <c r="C783" s="294" t="s">
        <v>2318</v>
      </c>
      <c r="D783" s="295" t="s">
        <v>2318</v>
      </c>
      <c r="E783" s="293" t="s">
        <v>1090</v>
      </c>
      <c r="F783" s="293" t="s">
        <v>2261</v>
      </c>
      <c r="G783" s="293" t="s">
        <v>13217</v>
      </c>
      <c r="H783" s="296" t="s">
        <v>15855</v>
      </c>
      <c r="I783" s="297" t="s">
        <v>1760</v>
      </c>
      <c r="J783" s="297" t="s">
        <v>13600</v>
      </c>
      <c r="K783" s="298" t="s">
        <v>15855</v>
      </c>
      <c r="L783" s="298" t="s">
        <v>15855</v>
      </c>
      <c r="M783" s="298" t="s">
        <v>15855</v>
      </c>
      <c r="N783" s="298" t="s">
        <v>15855</v>
      </c>
      <c r="O783" s="298" t="s">
        <v>16125</v>
      </c>
      <c r="P783" s="299" t="s">
        <v>15857</v>
      </c>
      <c r="Q783" s="300" t="s">
        <v>15855</v>
      </c>
      <c r="R783" s="182" t="str">
        <f ca="1">IF(ISERROR($V783),"",OFFSET('Smelter Look-up'!$C$4,$V783-4,0)&amp;"")</f>
        <v>Chenzhou Yunxiang Mining and Metallurgy Co., Ltd.</v>
      </c>
      <c r="S783" s="181" t="str">
        <f t="shared" ca="1" si="110"/>
        <v>CN</v>
      </c>
      <c r="T783" s="181" t="str">
        <f ca="1">IF(B783="","",IF(ISERROR(MATCH($J783,SorP!$B$1:$B$6226,0)),"",INDIRECT("'SorP'!$A$"&amp;MATCH($S783&amp;$J783,SorP!C:C,0))))</f>
        <v>CN-HN</v>
      </c>
      <c r="U783" s="201"/>
      <c r="V783" s="226">
        <f>IF(C783="",NA(),IF(OR(C783="Smelter not listed",C783="Smelter not yet identified"),MATCH($B783&amp;$D783,'Smelter Look-up'!$J:$J,0),MATCH($B783&amp;$C783,'Smelter Look-up'!$J:$J,0)))</f>
        <v>411</v>
      </c>
      <c r="X783" s="227">
        <f t="shared" si="111"/>
        <v>0</v>
      </c>
      <c r="AB783" s="228" t="str">
        <f t="shared" si="112"/>
        <v>TinChenzhou Yunxiang Mining and Metallurgy Co., Ltd.</v>
      </c>
    </row>
    <row r="784" spans="1:28" s="227" customFormat="1" ht="108">
      <c r="A784" s="301" t="s">
        <v>2261</v>
      </c>
      <c r="B784" s="293" t="s">
        <v>1120</v>
      </c>
      <c r="C784" s="294" t="s">
        <v>2318</v>
      </c>
      <c r="D784" s="295" t="s">
        <v>2318</v>
      </c>
      <c r="E784" s="293" t="s">
        <v>1090</v>
      </c>
      <c r="F784" s="293" t="s">
        <v>2261</v>
      </c>
      <c r="G784" s="293" t="s">
        <v>13217</v>
      </c>
      <c r="H784" s="296" t="s">
        <v>15855</v>
      </c>
      <c r="I784" s="297" t="s">
        <v>1760</v>
      </c>
      <c r="J784" s="297" t="s">
        <v>13600</v>
      </c>
      <c r="K784" s="298" t="s">
        <v>16541</v>
      </c>
      <c r="L784" s="298" t="s">
        <v>16542</v>
      </c>
      <c r="M784" s="298" t="s">
        <v>15869</v>
      </c>
      <c r="N784" s="298" t="s">
        <v>16543</v>
      </c>
      <c r="O784" s="298" t="s">
        <v>16544</v>
      </c>
      <c r="P784" s="299" t="s">
        <v>15857</v>
      </c>
      <c r="Q784" s="300" t="s">
        <v>15855</v>
      </c>
      <c r="R784" s="182" t="str">
        <f ca="1">IF(ISERROR($V784),"",OFFSET('Smelter Look-up'!$C$4,$V784-4,0)&amp;"")</f>
        <v>Chenzhou Yunxiang Mining and Metallurgy Co., Ltd.</v>
      </c>
      <c r="S784" s="181" t="str">
        <f t="shared" ca="1" si="110"/>
        <v>CN</v>
      </c>
      <c r="T784" s="181" t="str">
        <f ca="1">IF(B784="","",IF(ISERROR(MATCH($J784,SorP!$B$1:$B$6226,0)),"",INDIRECT("'SorP'!$A$"&amp;MATCH($S784&amp;$J784,SorP!C:C,0))))</f>
        <v>CN-HN</v>
      </c>
      <c r="U784" s="201"/>
      <c r="V784" s="226">
        <f>IF(C784="",NA(),IF(OR(C784="Smelter not listed",C784="Smelter not yet identified"),MATCH($B784&amp;$D784,'Smelter Look-up'!$J:$J,0),MATCH($B784&amp;$C784,'Smelter Look-up'!$J:$J,0)))</f>
        <v>411</v>
      </c>
      <c r="X784" s="227">
        <f t="shared" si="111"/>
        <v>0</v>
      </c>
      <c r="AB784" s="228" t="str">
        <f t="shared" si="112"/>
        <v>TinChenzhou Yunxiang Mining and Metallurgy Co., Ltd.</v>
      </c>
    </row>
    <row r="785" spans="1:28" s="227" customFormat="1" ht="108">
      <c r="A785" s="301" t="s">
        <v>2261</v>
      </c>
      <c r="B785" s="293" t="s">
        <v>1120</v>
      </c>
      <c r="C785" s="294" t="s">
        <v>2318</v>
      </c>
      <c r="D785" s="295" t="s">
        <v>2318</v>
      </c>
      <c r="E785" s="293" t="s">
        <v>1090</v>
      </c>
      <c r="F785" s="293" t="s">
        <v>2261</v>
      </c>
      <c r="G785" s="293" t="s">
        <v>13217</v>
      </c>
      <c r="H785" s="302" t="s">
        <v>15880</v>
      </c>
      <c r="I785" s="297" t="s">
        <v>1760</v>
      </c>
      <c r="J785" s="297" t="s">
        <v>13600</v>
      </c>
      <c r="K785" s="298" t="s">
        <v>15855</v>
      </c>
      <c r="L785" s="298" t="s">
        <v>15855</v>
      </c>
      <c r="M785" s="298" t="s">
        <v>15855</v>
      </c>
      <c r="N785" s="298" t="s">
        <v>15855</v>
      </c>
      <c r="O785" s="298" t="s">
        <v>15855</v>
      </c>
      <c r="P785" s="299" t="s">
        <v>15857</v>
      </c>
      <c r="Q785" s="300" t="s">
        <v>15855</v>
      </c>
      <c r="R785" s="182" t="str">
        <f ca="1">IF(ISERROR($V785),"",OFFSET('Smelter Look-up'!$C$4,$V785-4,0)&amp;"")</f>
        <v>Chenzhou Yunxiang Mining and Metallurgy Co., Ltd.</v>
      </c>
      <c r="S785" s="181" t="str">
        <f t="shared" ca="1" si="110"/>
        <v>CN</v>
      </c>
      <c r="T785" s="181" t="str">
        <f ca="1">IF(B785="","",IF(ISERROR(MATCH($J785,SorP!$B$1:$B$6226,0)),"",INDIRECT("'SorP'!$A$"&amp;MATCH($S785&amp;$J785,SorP!C:C,0))))</f>
        <v>CN-HN</v>
      </c>
      <c r="U785" s="201"/>
      <c r="V785" s="226">
        <f>IF(C785="",NA(),IF(OR(C785="Smelter not listed",C785="Smelter not yet identified"),MATCH($B785&amp;$D785,'Smelter Look-up'!$J:$J,0),MATCH($B785&amp;$C785,'Smelter Look-up'!$J:$J,0)))</f>
        <v>411</v>
      </c>
      <c r="X785" s="227">
        <f t="shared" si="111"/>
        <v>0</v>
      </c>
      <c r="AB785" s="228" t="str">
        <f t="shared" si="112"/>
        <v>TinChenzhou Yunxiang Mining and Metallurgy Co., Ltd.</v>
      </c>
    </row>
    <row r="786" spans="1:28" s="227" customFormat="1" ht="108">
      <c r="A786" s="301" t="s">
        <v>2261</v>
      </c>
      <c r="B786" s="293" t="s">
        <v>1120</v>
      </c>
      <c r="C786" s="294" t="s">
        <v>2318</v>
      </c>
      <c r="D786" s="295" t="s">
        <v>2318</v>
      </c>
      <c r="E786" s="293" t="s">
        <v>1090</v>
      </c>
      <c r="F786" s="293" t="s">
        <v>2261</v>
      </c>
      <c r="G786" s="293" t="s">
        <v>13217</v>
      </c>
      <c r="H786" s="296" t="s">
        <v>16545</v>
      </c>
      <c r="I786" s="297" t="s">
        <v>1760</v>
      </c>
      <c r="J786" s="297" t="s">
        <v>13600</v>
      </c>
      <c r="K786" s="298" t="s">
        <v>16546</v>
      </c>
      <c r="L786" s="298" t="s">
        <v>16547</v>
      </c>
      <c r="M786" s="298" t="s">
        <v>16548</v>
      </c>
      <c r="N786" s="298" t="s">
        <v>16549</v>
      </c>
      <c r="O786" s="298" t="s">
        <v>16550</v>
      </c>
      <c r="P786" s="299" t="s">
        <v>15857</v>
      </c>
      <c r="Q786" s="300" t="s">
        <v>15855</v>
      </c>
      <c r="R786" s="182" t="str">
        <f ca="1">IF(ISERROR($V786),"",OFFSET('Smelter Look-up'!$C$4,$V786-4,0)&amp;"")</f>
        <v>Chenzhou Yunxiang Mining and Metallurgy Co., Ltd.</v>
      </c>
      <c r="S786" s="181" t="str">
        <f t="shared" ca="1" si="110"/>
        <v>CN</v>
      </c>
      <c r="T786" s="181" t="str">
        <f ca="1">IF(B786="","",IF(ISERROR(MATCH($J786,SorP!$B$1:$B$6226,0)),"",INDIRECT("'SorP'!$A$"&amp;MATCH($S786&amp;$J786,SorP!C:C,0))))</f>
        <v>CN-HN</v>
      </c>
      <c r="U786" s="201"/>
      <c r="V786" s="226">
        <f>IF(C786="",NA(),IF(OR(C786="Smelter not listed",C786="Smelter not yet identified"),MATCH($B786&amp;$D786,'Smelter Look-up'!$J:$J,0),MATCH($B786&amp;$C786,'Smelter Look-up'!$J:$J,0)))</f>
        <v>411</v>
      </c>
      <c r="X786" s="227">
        <f t="shared" si="111"/>
        <v>0</v>
      </c>
      <c r="AB786" s="228" t="str">
        <f t="shared" si="112"/>
        <v>TinChenzhou Yunxiang Mining and Metallurgy Co., Ltd.</v>
      </c>
    </row>
    <row r="787" spans="1:28" s="227" customFormat="1" ht="81">
      <c r="A787" s="301" t="s">
        <v>12908</v>
      </c>
      <c r="B787" s="293" t="s">
        <v>1120</v>
      </c>
      <c r="C787" s="294" t="s">
        <v>12907</v>
      </c>
      <c r="D787" s="295" t="s">
        <v>12907</v>
      </c>
      <c r="E787" s="293" t="s">
        <v>1090</v>
      </c>
      <c r="F787" s="293" t="s">
        <v>12908</v>
      </c>
      <c r="G787" s="293" t="s">
        <v>13217</v>
      </c>
      <c r="H787" s="296" t="s">
        <v>15855</v>
      </c>
      <c r="I787" s="297" t="s">
        <v>12925</v>
      </c>
      <c r="J787" s="297" t="s">
        <v>13579</v>
      </c>
      <c r="K787" s="298" t="s">
        <v>15855</v>
      </c>
      <c r="L787" s="298" t="s">
        <v>15855</v>
      </c>
      <c r="M787" s="298" t="s">
        <v>15855</v>
      </c>
      <c r="N787" s="298" t="s">
        <v>15855</v>
      </c>
      <c r="O787" s="298" t="s">
        <v>15855</v>
      </c>
      <c r="P787" s="299" t="s">
        <v>15857</v>
      </c>
      <c r="Q787" s="300" t="s">
        <v>15855</v>
      </c>
      <c r="R787" s="182" t="str">
        <f ca="1">IF(ISERROR($V787),"",OFFSET('Smelter Look-up'!$C$4,$V787-4,0)&amp;"")</f>
        <v>Chifeng Dajingzi Tin Industry Co., Ltd.</v>
      </c>
      <c r="S787" s="181" t="str">
        <f t="shared" ca="1" si="110"/>
        <v>CN</v>
      </c>
      <c r="T787" s="181" t="str">
        <f ca="1">IF(B787="","",IF(ISERROR(MATCH($J787,SorP!$B$1:$B$6226,0)),"",INDIRECT("'SorP'!$A$"&amp;MATCH($S787&amp;$J787,SorP!C:C,0))))</f>
        <v>CN-NM</v>
      </c>
      <c r="U787" s="201"/>
      <c r="V787" s="226">
        <f>IF(C787="",NA(),IF(OR(C787="Smelter not listed",C787="Smelter not yet identified"),MATCH($B787&amp;$D787,'Smelter Look-up'!$J:$J,0),MATCH($B787&amp;$C787,'Smelter Look-up'!$J:$J,0)))</f>
        <v>412</v>
      </c>
      <c r="X787" s="227">
        <f t="shared" si="111"/>
        <v>0</v>
      </c>
      <c r="AB787" s="228" t="str">
        <f t="shared" si="112"/>
        <v>TinChifeng Dajingzi Tin Industry Co., Ltd.</v>
      </c>
    </row>
    <row r="788" spans="1:28" s="227" customFormat="1" ht="81">
      <c r="A788" s="301" t="s">
        <v>12908</v>
      </c>
      <c r="B788" s="293" t="s">
        <v>1120</v>
      </c>
      <c r="C788" s="294" t="s">
        <v>12907</v>
      </c>
      <c r="D788" s="295" t="s">
        <v>12907</v>
      </c>
      <c r="E788" s="293" t="s">
        <v>1090</v>
      </c>
      <c r="F788" s="293" t="s">
        <v>12908</v>
      </c>
      <c r="G788" s="293" t="s">
        <v>13217</v>
      </c>
      <c r="H788" s="296" t="s">
        <v>15855</v>
      </c>
      <c r="I788" s="297" t="s">
        <v>12925</v>
      </c>
      <c r="J788" s="297" t="s">
        <v>13579</v>
      </c>
      <c r="K788" s="298" t="s">
        <v>15855</v>
      </c>
      <c r="L788" s="298" t="s">
        <v>15855</v>
      </c>
      <c r="M788" s="298" t="s">
        <v>15855</v>
      </c>
      <c r="N788" s="298" t="s">
        <v>15855</v>
      </c>
      <c r="O788" s="298" t="s">
        <v>16551</v>
      </c>
      <c r="P788" s="299" t="s">
        <v>15857</v>
      </c>
      <c r="Q788" s="300" t="s">
        <v>15855</v>
      </c>
      <c r="R788" s="182" t="str">
        <f ca="1">IF(ISERROR($V788),"",OFFSET('Smelter Look-up'!$C$4,$V788-4,0)&amp;"")</f>
        <v>Chifeng Dajingzi Tin Industry Co., Ltd.</v>
      </c>
      <c r="S788" s="181" t="str">
        <f t="shared" ca="1" si="110"/>
        <v>CN</v>
      </c>
      <c r="T788" s="181" t="str">
        <f ca="1">IF(B788="","",IF(ISERROR(MATCH($J788,SorP!$B$1:$B$6226,0)),"",INDIRECT("'SorP'!$A$"&amp;MATCH($S788&amp;$J788,SorP!C:C,0))))</f>
        <v>CN-NM</v>
      </c>
      <c r="U788" s="201"/>
      <c r="V788" s="226">
        <f>IF(C788="",NA(),IF(OR(C788="Smelter not listed",C788="Smelter not yet identified"),MATCH($B788&amp;$D788,'Smelter Look-up'!$J:$J,0),MATCH($B788&amp;$C788,'Smelter Look-up'!$J:$J,0)))</f>
        <v>412</v>
      </c>
      <c r="X788" s="227">
        <f t="shared" si="111"/>
        <v>0</v>
      </c>
      <c r="AB788" s="228" t="str">
        <f t="shared" si="112"/>
        <v>TinChifeng Dajingzi Tin Industry Co., Ltd.</v>
      </c>
    </row>
    <row r="789" spans="1:28" s="227" customFormat="1" ht="81">
      <c r="A789" s="301" t="s">
        <v>12908</v>
      </c>
      <c r="B789" s="293" t="s">
        <v>1120</v>
      </c>
      <c r="C789" s="294" t="s">
        <v>12907</v>
      </c>
      <c r="D789" s="295" t="s">
        <v>12907</v>
      </c>
      <c r="E789" s="293" t="s">
        <v>1090</v>
      </c>
      <c r="F789" s="293" t="s">
        <v>12908</v>
      </c>
      <c r="G789" s="293" t="s">
        <v>13217</v>
      </c>
      <c r="H789" s="296" t="s">
        <v>15855</v>
      </c>
      <c r="I789" s="297" t="s">
        <v>12925</v>
      </c>
      <c r="J789" s="297" t="s">
        <v>13579</v>
      </c>
      <c r="K789" s="298" t="s">
        <v>16552</v>
      </c>
      <c r="L789" s="298" t="s">
        <v>16553</v>
      </c>
      <c r="M789" s="298" t="s">
        <v>15892</v>
      </c>
      <c r="N789" s="298" t="s">
        <v>15870</v>
      </c>
      <c r="O789" s="298" t="s">
        <v>16554</v>
      </c>
      <c r="P789" s="299" t="s">
        <v>15857</v>
      </c>
      <c r="Q789" s="300" t="s">
        <v>15855</v>
      </c>
      <c r="R789" s="182" t="str">
        <f ca="1">IF(ISERROR($V789),"",OFFSET('Smelter Look-up'!$C$4,$V789-4,0)&amp;"")</f>
        <v>Chifeng Dajingzi Tin Industry Co., Ltd.</v>
      </c>
      <c r="S789" s="181" t="str">
        <f t="shared" ca="1" si="110"/>
        <v>CN</v>
      </c>
      <c r="T789" s="181" t="str">
        <f ca="1">IF(B789="","",IF(ISERROR(MATCH($J789,SorP!$B$1:$B$6226,0)),"",INDIRECT("'SorP'!$A$"&amp;MATCH($S789&amp;$J789,SorP!C:C,0))))</f>
        <v>CN-NM</v>
      </c>
      <c r="U789" s="201"/>
      <c r="V789" s="226">
        <f>IF(C789="",NA(),IF(OR(C789="Smelter not listed",C789="Smelter not yet identified"),MATCH($B789&amp;$D789,'Smelter Look-up'!$J:$J,0),MATCH($B789&amp;$C789,'Smelter Look-up'!$J:$J,0)))</f>
        <v>412</v>
      </c>
      <c r="X789" s="227">
        <f t="shared" si="111"/>
        <v>0</v>
      </c>
      <c r="AB789" s="228" t="str">
        <f t="shared" si="112"/>
        <v>TinChifeng Dajingzi Tin Industry Co., Ltd.</v>
      </c>
    </row>
    <row r="790" spans="1:28" s="227" customFormat="1" ht="40.5">
      <c r="A790" s="301" t="s">
        <v>765</v>
      </c>
      <c r="B790" s="293" t="s">
        <v>1120</v>
      </c>
      <c r="C790" s="294" t="s">
        <v>2211</v>
      </c>
      <c r="D790" s="295" t="s">
        <v>1315</v>
      </c>
      <c r="E790" s="293" t="s">
        <v>1090</v>
      </c>
      <c r="F790" s="293" t="s">
        <v>765</v>
      </c>
      <c r="G790" s="293" t="s">
        <v>13217</v>
      </c>
      <c r="H790" s="296" t="s">
        <v>15855</v>
      </c>
      <c r="I790" s="297" t="s">
        <v>1761</v>
      </c>
      <c r="J790" s="297" t="s">
        <v>13580</v>
      </c>
      <c r="K790" s="298" t="s">
        <v>15855</v>
      </c>
      <c r="L790" s="298" t="s">
        <v>15855</v>
      </c>
      <c r="M790" s="298" t="s">
        <v>15855</v>
      </c>
      <c r="N790" s="298" t="s">
        <v>15855</v>
      </c>
      <c r="O790" s="298" t="s">
        <v>15855</v>
      </c>
      <c r="P790" s="299" t="s">
        <v>15857</v>
      </c>
      <c r="Q790" s="300" t="s">
        <v>15855</v>
      </c>
      <c r="R790" s="182" t="str">
        <f ca="1">IF(ISERROR($V790),"",OFFSET('Smelter Look-up'!$C$4,$V790-4,0)&amp;"")</f>
        <v>China Tin Group Co., Ltd.</v>
      </c>
      <c r="S790" s="181" t="str">
        <f t="shared" ca="1" si="110"/>
        <v>CN</v>
      </c>
      <c r="T790" s="181" t="str">
        <f ca="1">IF(B790="","",IF(ISERROR(MATCH($J790,SorP!$B$1:$B$6226,0)),"",INDIRECT("'SorP'!$A$"&amp;MATCH($S790&amp;$J790,SorP!C:C,0))))</f>
        <v>CN-GX</v>
      </c>
      <c r="U790" s="201"/>
      <c r="V790" s="226">
        <f>IF(C790="",NA(),IF(OR(C790="Smelter not listed",C790="Smelter not yet identified"),MATCH($B790&amp;$D790,'Smelter Look-up'!$J:$J,0),MATCH($B790&amp;$C790,'Smelter Look-up'!$J:$J,0)))</f>
        <v>413</v>
      </c>
      <c r="X790" s="227">
        <f t="shared" si="111"/>
        <v>0</v>
      </c>
      <c r="AB790" s="228" t="str">
        <f t="shared" si="112"/>
        <v>TinChina Tin (Hechi)</v>
      </c>
    </row>
    <row r="791" spans="1:28" s="227" customFormat="1" ht="54">
      <c r="A791" s="301" t="s">
        <v>765</v>
      </c>
      <c r="B791" s="293" t="s">
        <v>1120</v>
      </c>
      <c r="C791" s="294" t="s">
        <v>1315</v>
      </c>
      <c r="D791" s="295" t="s">
        <v>1315</v>
      </c>
      <c r="E791" s="293" t="s">
        <v>1090</v>
      </c>
      <c r="F791" s="293" t="s">
        <v>765</v>
      </c>
      <c r="G791" s="293" t="s">
        <v>13217</v>
      </c>
      <c r="H791" s="296" t="s">
        <v>15855</v>
      </c>
      <c r="I791" s="297" t="s">
        <v>1761</v>
      </c>
      <c r="J791" s="297" t="s">
        <v>13580</v>
      </c>
      <c r="K791" s="298" t="s">
        <v>15855</v>
      </c>
      <c r="L791" s="298" t="s">
        <v>15855</v>
      </c>
      <c r="M791" s="298" t="s">
        <v>15855</v>
      </c>
      <c r="N791" s="298" t="s">
        <v>15855</v>
      </c>
      <c r="O791" s="298" t="s">
        <v>15855</v>
      </c>
      <c r="P791" s="299" t="s">
        <v>15857</v>
      </c>
      <c r="Q791" s="300" t="s">
        <v>15855</v>
      </c>
      <c r="R791" s="182" t="str">
        <f ca="1">IF(ISERROR($V791),"",OFFSET('Smelter Look-up'!$C$4,$V791-4,0)&amp;"")</f>
        <v>China Tin Group Co., Ltd.</v>
      </c>
      <c r="S791" s="181" t="str">
        <f t="shared" ca="1" si="110"/>
        <v>CN</v>
      </c>
      <c r="T791" s="181" t="str">
        <f ca="1">IF(B791="","",IF(ISERROR(MATCH($J791,SorP!$B$1:$B$6226,0)),"",INDIRECT("'SorP'!$A$"&amp;MATCH($S791&amp;$J791,SorP!C:C,0))))</f>
        <v>CN-GX</v>
      </c>
      <c r="U791" s="201"/>
      <c r="V791" s="226">
        <f>IF(C791="",NA(),IF(OR(C791="Smelter not listed",C791="Smelter not yet identified"),MATCH($B791&amp;$D791,'Smelter Look-up'!$J:$J,0),MATCH($B791&amp;$C791,'Smelter Look-up'!$J:$J,0)))</f>
        <v>414</v>
      </c>
      <c r="X791" s="227">
        <f t="shared" si="111"/>
        <v>0</v>
      </c>
      <c r="AB791" s="228" t="str">
        <f t="shared" si="112"/>
        <v>TinChina Tin Group Co., Ltd.</v>
      </c>
    </row>
    <row r="792" spans="1:28" s="227" customFormat="1" ht="54">
      <c r="A792" s="301" t="s">
        <v>765</v>
      </c>
      <c r="B792" s="293" t="s">
        <v>1120</v>
      </c>
      <c r="C792" s="294" t="s">
        <v>1315</v>
      </c>
      <c r="D792" s="295" t="s">
        <v>1315</v>
      </c>
      <c r="E792" s="293" t="s">
        <v>1090</v>
      </c>
      <c r="F792" s="293" t="s">
        <v>765</v>
      </c>
      <c r="G792" s="293" t="s">
        <v>13217</v>
      </c>
      <c r="H792" s="296" t="s">
        <v>15855</v>
      </c>
      <c r="I792" s="297" t="s">
        <v>1761</v>
      </c>
      <c r="J792" s="297" t="s">
        <v>13580</v>
      </c>
      <c r="K792" s="298" t="s">
        <v>15855</v>
      </c>
      <c r="L792" s="298" t="s">
        <v>15855</v>
      </c>
      <c r="M792" s="298" t="s">
        <v>15855</v>
      </c>
      <c r="N792" s="298" t="s">
        <v>15855</v>
      </c>
      <c r="O792" s="298" t="s">
        <v>15855</v>
      </c>
      <c r="P792" s="299" t="s">
        <v>15857</v>
      </c>
      <c r="Q792" s="300" t="s">
        <v>16531</v>
      </c>
      <c r="R792" s="182" t="str">
        <f ca="1">IF(ISERROR($V792),"",OFFSET('Smelter Look-up'!$C$4,$V792-4,0)&amp;"")</f>
        <v>China Tin Group Co., Ltd.</v>
      </c>
      <c r="S792" s="181" t="str">
        <f t="shared" ca="1" si="110"/>
        <v>CN</v>
      </c>
      <c r="T792" s="181" t="str">
        <f ca="1">IF(B792="","",IF(ISERROR(MATCH($J792,SorP!$B$1:$B$6226,0)),"",INDIRECT("'SorP'!$A$"&amp;MATCH($S792&amp;$J792,SorP!C:C,0))))</f>
        <v>CN-GX</v>
      </c>
      <c r="U792" s="201"/>
      <c r="V792" s="226">
        <f>IF(C792="",NA(),IF(OR(C792="Smelter not listed",C792="Smelter not yet identified"),MATCH($B792&amp;$D792,'Smelter Look-up'!$J:$J,0),MATCH($B792&amp;$C792,'Smelter Look-up'!$J:$J,0)))</f>
        <v>414</v>
      </c>
      <c r="X792" s="227">
        <f t="shared" si="111"/>
        <v>0</v>
      </c>
      <c r="AB792" s="228" t="str">
        <f t="shared" si="112"/>
        <v>TinChina Tin Group Co., Ltd.</v>
      </c>
    </row>
    <row r="793" spans="1:28" s="227" customFormat="1" ht="54">
      <c r="A793" s="301" t="s">
        <v>765</v>
      </c>
      <c r="B793" s="293" t="s">
        <v>1120</v>
      </c>
      <c r="C793" s="294" t="s">
        <v>1315</v>
      </c>
      <c r="D793" s="295" t="s">
        <v>1315</v>
      </c>
      <c r="E793" s="293" t="s">
        <v>1090</v>
      </c>
      <c r="F793" s="293" t="s">
        <v>765</v>
      </c>
      <c r="G793" s="293" t="s">
        <v>13217</v>
      </c>
      <c r="H793" s="296" t="s">
        <v>15855</v>
      </c>
      <c r="I793" s="297" t="s">
        <v>1761</v>
      </c>
      <c r="J793" s="297" t="s">
        <v>13580</v>
      </c>
      <c r="K793" s="298" t="s">
        <v>15855</v>
      </c>
      <c r="L793" s="298" t="s">
        <v>15855</v>
      </c>
      <c r="M793" s="298" t="s">
        <v>15855</v>
      </c>
      <c r="N793" s="298" t="s">
        <v>15855</v>
      </c>
      <c r="O793" s="298" t="s">
        <v>15855</v>
      </c>
      <c r="P793" s="299" t="s">
        <v>15875</v>
      </c>
      <c r="Q793" s="300" t="s">
        <v>15855</v>
      </c>
      <c r="R793" s="182" t="str">
        <f ca="1">IF(ISERROR($V793),"",OFFSET('Smelter Look-up'!$C$4,$V793-4,0)&amp;"")</f>
        <v>China Tin Group Co., Ltd.</v>
      </c>
      <c r="S793" s="181" t="str">
        <f t="shared" ca="1" si="110"/>
        <v>CN</v>
      </c>
      <c r="T793" s="181" t="str">
        <f ca="1">IF(B793="","",IF(ISERROR(MATCH($J793,SorP!$B$1:$B$6226,0)),"",INDIRECT("'SorP'!$A$"&amp;MATCH($S793&amp;$J793,SorP!C:C,0))))</f>
        <v>CN-GX</v>
      </c>
      <c r="U793" s="201"/>
      <c r="V793" s="226">
        <f>IF(C793="",NA(),IF(OR(C793="Smelter not listed",C793="Smelter not yet identified"),MATCH($B793&amp;$D793,'Smelter Look-up'!$J:$J,0),MATCH($B793&amp;$C793,'Smelter Look-up'!$J:$J,0)))</f>
        <v>414</v>
      </c>
      <c r="X793" s="227">
        <f t="shared" si="111"/>
        <v>0</v>
      </c>
      <c r="AB793" s="228" t="str">
        <f t="shared" si="112"/>
        <v>TinChina Tin Group Co., Ltd.</v>
      </c>
    </row>
    <row r="794" spans="1:28" s="227" customFormat="1" ht="54">
      <c r="A794" s="301" t="s">
        <v>765</v>
      </c>
      <c r="B794" s="293" t="s">
        <v>1120</v>
      </c>
      <c r="C794" s="294" t="s">
        <v>1315</v>
      </c>
      <c r="D794" s="295" t="s">
        <v>1315</v>
      </c>
      <c r="E794" s="293" t="s">
        <v>1090</v>
      </c>
      <c r="F794" s="293" t="s">
        <v>765</v>
      </c>
      <c r="G794" s="293" t="s">
        <v>13217</v>
      </c>
      <c r="H794" s="296" t="s">
        <v>15855</v>
      </c>
      <c r="I794" s="297" t="s">
        <v>1761</v>
      </c>
      <c r="J794" s="297" t="s">
        <v>13580</v>
      </c>
      <c r="K794" s="298" t="s">
        <v>15855</v>
      </c>
      <c r="L794" s="298" t="s">
        <v>15855</v>
      </c>
      <c r="M794" s="298" t="s">
        <v>15855</v>
      </c>
      <c r="N794" s="298" t="s">
        <v>15855</v>
      </c>
      <c r="O794" s="298" t="s">
        <v>15989</v>
      </c>
      <c r="P794" s="299" t="s">
        <v>15857</v>
      </c>
      <c r="Q794" s="300" t="s">
        <v>15855</v>
      </c>
      <c r="R794" s="182" t="str">
        <f ca="1">IF(ISERROR($V794),"",OFFSET('Smelter Look-up'!$C$4,$V794-4,0)&amp;"")</f>
        <v>China Tin Group Co., Ltd.</v>
      </c>
      <c r="S794" s="181" t="str">
        <f t="shared" ca="1" si="110"/>
        <v>CN</v>
      </c>
      <c r="T794" s="181" t="str">
        <f ca="1">IF(B794="","",IF(ISERROR(MATCH($J794,SorP!$B$1:$B$6226,0)),"",INDIRECT("'SorP'!$A$"&amp;MATCH($S794&amp;$J794,SorP!C:C,0))))</f>
        <v>CN-GX</v>
      </c>
      <c r="U794" s="201"/>
      <c r="V794" s="226">
        <f>IF(C794="",NA(),IF(OR(C794="Smelter not listed",C794="Smelter not yet identified"),MATCH($B794&amp;$D794,'Smelter Look-up'!$J:$J,0),MATCH($B794&amp;$C794,'Smelter Look-up'!$J:$J,0)))</f>
        <v>414</v>
      </c>
      <c r="X794" s="227">
        <f t="shared" si="111"/>
        <v>0</v>
      </c>
      <c r="AB794" s="228" t="str">
        <f t="shared" si="112"/>
        <v>TinChina Tin Group Co., Ltd.</v>
      </c>
    </row>
    <row r="795" spans="1:28" s="227" customFormat="1" ht="54">
      <c r="A795" s="301" t="s">
        <v>765</v>
      </c>
      <c r="B795" s="293" t="s">
        <v>1120</v>
      </c>
      <c r="C795" s="294" t="s">
        <v>1315</v>
      </c>
      <c r="D795" s="295" t="s">
        <v>1315</v>
      </c>
      <c r="E795" s="293" t="s">
        <v>1090</v>
      </c>
      <c r="F795" s="293" t="s">
        <v>765</v>
      </c>
      <c r="G795" s="293" t="s">
        <v>13217</v>
      </c>
      <c r="H795" s="296" t="s">
        <v>15855</v>
      </c>
      <c r="I795" s="297" t="s">
        <v>1761</v>
      </c>
      <c r="J795" s="297" t="s">
        <v>13580</v>
      </c>
      <c r="K795" s="298" t="s">
        <v>16555</v>
      </c>
      <c r="L795" s="298" t="s">
        <v>16556</v>
      </c>
      <c r="M795" s="298" t="s">
        <v>16557</v>
      </c>
      <c r="N795" s="298" t="s">
        <v>15870</v>
      </c>
      <c r="O795" s="298" t="s">
        <v>16558</v>
      </c>
      <c r="P795" s="299" t="s">
        <v>15857</v>
      </c>
      <c r="Q795" s="300" t="s">
        <v>15855</v>
      </c>
      <c r="R795" s="182" t="str">
        <f ca="1">IF(ISERROR($V795),"",OFFSET('Smelter Look-up'!$C$4,$V795-4,0)&amp;"")</f>
        <v>China Tin Group Co., Ltd.</v>
      </c>
      <c r="S795" s="181" t="str">
        <f t="shared" ca="1" si="110"/>
        <v>CN</v>
      </c>
      <c r="T795" s="181" t="str">
        <f ca="1">IF(B795="","",IF(ISERROR(MATCH($J795,SorP!$B$1:$B$6226,0)),"",INDIRECT("'SorP'!$A$"&amp;MATCH($S795&amp;$J795,SorP!C:C,0))))</f>
        <v>CN-GX</v>
      </c>
      <c r="U795" s="201"/>
      <c r="V795" s="226">
        <f>IF(C795="",NA(),IF(OR(C795="Smelter not listed",C795="Smelter not yet identified"),MATCH($B795&amp;$D795,'Smelter Look-up'!$J:$J,0),MATCH($B795&amp;$C795,'Smelter Look-up'!$J:$J,0)))</f>
        <v>414</v>
      </c>
      <c r="X795" s="227">
        <f t="shared" si="111"/>
        <v>0</v>
      </c>
      <c r="AB795" s="228" t="str">
        <f t="shared" si="112"/>
        <v>TinChina Tin Group Co., Ltd.</v>
      </c>
    </row>
    <row r="796" spans="1:28" s="227" customFormat="1" ht="54">
      <c r="A796" s="301" t="s">
        <v>765</v>
      </c>
      <c r="B796" s="293" t="s">
        <v>1120</v>
      </c>
      <c r="C796" s="294" t="s">
        <v>1315</v>
      </c>
      <c r="D796" s="295" t="s">
        <v>1315</v>
      </c>
      <c r="E796" s="293" t="s">
        <v>1090</v>
      </c>
      <c r="F796" s="293" t="s">
        <v>765</v>
      </c>
      <c r="G796" s="293" t="s">
        <v>13217</v>
      </c>
      <c r="H796" s="302" t="s">
        <v>15880</v>
      </c>
      <c r="I796" s="297" t="s">
        <v>1761</v>
      </c>
      <c r="J796" s="297" t="s">
        <v>16559</v>
      </c>
      <c r="K796" s="298" t="s">
        <v>15855</v>
      </c>
      <c r="L796" s="298" t="s">
        <v>15855</v>
      </c>
      <c r="M796" s="298" t="s">
        <v>15855</v>
      </c>
      <c r="N796" s="298" t="s">
        <v>15855</v>
      </c>
      <c r="O796" s="298" t="s">
        <v>15855</v>
      </c>
      <c r="P796" s="299" t="s">
        <v>15857</v>
      </c>
      <c r="Q796" s="300" t="s">
        <v>15855</v>
      </c>
      <c r="R796" s="182" t="str">
        <f ca="1">IF(ISERROR($V796),"",OFFSET('Smelter Look-up'!$C$4,$V796-4,0)&amp;"")</f>
        <v>China Tin Group Co., Ltd.</v>
      </c>
      <c r="S796" s="181" t="str">
        <f t="shared" ref="S796:S826" ca="1" si="113">IF(B796="","",IF(ISERROR(MATCH($E796,CL,0)),"Unknown",INDIRECT("'C'!$A$"&amp;MATCH($E796,CL,0)+1)))</f>
        <v>CN</v>
      </c>
      <c r="T796" s="181" t="str">
        <f ca="1">IF(B796="","",IF(ISERROR(MATCH($J796,SorP!$B$1:$B$6226,0)),"",INDIRECT("'SorP'!$A$"&amp;MATCH($S796&amp;$J796,SorP!C:C,0))))</f>
        <v/>
      </c>
      <c r="U796" s="201"/>
      <c r="V796" s="226">
        <f>IF(C796="",NA(),IF(OR(C796="Smelter not listed",C796="Smelter not yet identified"),MATCH($B796&amp;$D796,'Smelter Look-up'!$J:$J,0),MATCH($B796&amp;$C796,'Smelter Look-up'!$J:$J,0)))</f>
        <v>414</v>
      </c>
      <c r="X796" s="227">
        <f t="shared" ref="X796:X826" si="114">IF(AND(C796="Smelter not listed",OR(LEN(D796)=0,LEN(E796)=0)),1,0)</f>
        <v>0</v>
      </c>
      <c r="AB796" s="228" t="str">
        <f t="shared" ref="AB796:AB826" si="115">B796&amp;C796</f>
        <v>TinChina Tin Group Co., Ltd.</v>
      </c>
    </row>
    <row r="797" spans="1:28" s="227" customFormat="1" ht="54">
      <c r="A797" s="301" t="s">
        <v>765</v>
      </c>
      <c r="B797" s="293" t="s">
        <v>1120</v>
      </c>
      <c r="C797" s="294" t="s">
        <v>1315</v>
      </c>
      <c r="D797" s="295" t="s">
        <v>1315</v>
      </c>
      <c r="E797" s="293" t="s">
        <v>1090</v>
      </c>
      <c r="F797" s="293" t="s">
        <v>765</v>
      </c>
      <c r="G797" s="293" t="s">
        <v>13217</v>
      </c>
      <c r="H797" s="302" t="s">
        <v>15880</v>
      </c>
      <c r="I797" s="297" t="s">
        <v>1761</v>
      </c>
      <c r="J797" s="297" t="s">
        <v>13580</v>
      </c>
      <c r="K797" s="298" t="s">
        <v>15855</v>
      </c>
      <c r="L797" s="298" t="s">
        <v>15855</v>
      </c>
      <c r="M797" s="298" t="s">
        <v>15855</v>
      </c>
      <c r="N797" s="298" t="s">
        <v>15855</v>
      </c>
      <c r="O797" s="298" t="s">
        <v>15855</v>
      </c>
      <c r="P797" s="299" t="s">
        <v>15857</v>
      </c>
      <c r="Q797" s="300" t="s">
        <v>15855</v>
      </c>
      <c r="R797" s="182" t="str">
        <f ca="1">IF(ISERROR($V797),"",OFFSET('Smelter Look-up'!$C$4,$V797-4,0)&amp;"")</f>
        <v>China Tin Group Co., Ltd.</v>
      </c>
      <c r="S797" s="181" t="str">
        <f t="shared" ca="1" si="113"/>
        <v>CN</v>
      </c>
      <c r="T797" s="181" t="str">
        <f ca="1">IF(B797="","",IF(ISERROR(MATCH($J797,SorP!$B$1:$B$6226,0)),"",INDIRECT("'SorP'!$A$"&amp;MATCH($S797&amp;$J797,SorP!C:C,0))))</f>
        <v>CN-GX</v>
      </c>
      <c r="U797" s="201"/>
      <c r="V797" s="226">
        <f>IF(C797="",NA(),IF(OR(C797="Smelter not listed",C797="Smelter not yet identified"),MATCH($B797&amp;$D797,'Smelter Look-up'!$J:$J,0),MATCH($B797&amp;$C797,'Smelter Look-up'!$J:$J,0)))</f>
        <v>414</v>
      </c>
      <c r="X797" s="227">
        <f t="shared" si="114"/>
        <v>0</v>
      </c>
      <c r="AB797" s="228" t="str">
        <f t="shared" si="115"/>
        <v>TinChina Tin Group Co., Ltd.</v>
      </c>
    </row>
    <row r="798" spans="1:28" s="227" customFormat="1" ht="54">
      <c r="A798" s="301" t="s">
        <v>765</v>
      </c>
      <c r="B798" s="293" t="s">
        <v>1120</v>
      </c>
      <c r="C798" s="294" t="s">
        <v>1315</v>
      </c>
      <c r="D798" s="295" t="s">
        <v>1315</v>
      </c>
      <c r="E798" s="293" t="s">
        <v>1090</v>
      </c>
      <c r="F798" s="293" t="s">
        <v>765</v>
      </c>
      <c r="G798" s="293" t="s">
        <v>13217</v>
      </c>
      <c r="H798" s="302" t="s">
        <v>15880</v>
      </c>
      <c r="I798" s="297" t="s">
        <v>1761</v>
      </c>
      <c r="J798" s="297" t="s">
        <v>13580</v>
      </c>
      <c r="K798" s="298" t="s">
        <v>15881</v>
      </c>
      <c r="L798" s="298" t="s">
        <v>16560</v>
      </c>
      <c r="M798" s="298" t="s">
        <v>12593</v>
      </c>
      <c r="N798" s="298" t="s">
        <v>15881</v>
      </c>
      <c r="O798" s="298" t="s">
        <v>15881</v>
      </c>
      <c r="P798" s="299" t="s">
        <v>15857</v>
      </c>
      <c r="Q798" s="300" t="s">
        <v>15855</v>
      </c>
      <c r="R798" s="182" t="str">
        <f ca="1">IF(ISERROR($V798),"",OFFSET('Smelter Look-up'!$C$4,$V798-4,0)&amp;"")</f>
        <v>China Tin Group Co., Ltd.</v>
      </c>
      <c r="S798" s="181" t="str">
        <f t="shared" ca="1" si="113"/>
        <v>CN</v>
      </c>
      <c r="T798" s="181" t="str">
        <f ca="1">IF(B798="","",IF(ISERROR(MATCH($J798,SorP!$B$1:$B$6226,0)),"",INDIRECT("'SorP'!$A$"&amp;MATCH($S798&amp;$J798,SorP!C:C,0))))</f>
        <v>CN-GX</v>
      </c>
      <c r="U798" s="201"/>
      <c r="V798" s="226">
        <f>IF(C798="",NA(),IF(OR(C798="Smelter not listed",C798="Smelter not yet identified"),MATCH($B798&amp;$D798,'Smelter Look-up'!$J:$J,0),MATCH($B798&amp;$C798,'Smelter Look-up'!$J:$J,0)))</f>
        <v>414</v>
      </c>
      <c r="X798" s="227">
        <f t="shared" si="114"/>
        <v>0</v>
      </c>
      <c r="AB798" s="228" t="str">
        <f t="shared" si="115"/>
        <v>TinChina Tin Group Co., Ltd.</v>
      </c>
    </row>
    <row r="799" spans="1:28" s="227" customFormat="1" ht="54">
      <c r="A799" s="301" t="s">
        <v>765</v>
      </c>
      <c r="B799" s="293" t="s">
        <v>1120</v>
      </c>
      <c r="C799" s="294" t="s">
        <v>1315</v>
      </c>
      <c r="D799" s="295" t="s">
        <v>1315</v>
      </c>
      <c r="E799" s="293" t="s">
        <v>1090</v>
      </c>
      <c r="F799" s="293" t="s">
        <v>765</v>
      </c>
      <c r="G799" s="293" t="s">
        <v>13217</v>
      </c>
      <c r="H799" s="296" t="s">
        <v>16561</v>
      </c>
      <c r="I799" s="297" t="s">
        <v>1761</v>
      </c>
      <c r="J799" s="297" t="s">
        <v>13580</v>
      </c>
      <c r="K799" s="298" t="s">
        <v>15855</v>
      </c>
      <c r="L799" s="298" t="s">
        <v>15855</v>
      </c>
      <c r="M799" s="298" t="s">
        <v>16562</v>
      </c>
      <c r="N799" s="298" t="s">
        <v>15855</v>
      </c>
      <c r="O799" s="298" t="s">
        <v>15855</v>
      </c>
      <c r="P799" s="299" t="s">
        <v>15857</v>
      </c>
      <c r="Q799" s="300" t="s">
        <v>15855</v>
      </c>
      <c r="R799" s="182" t="str">
        <f ca="1">IF(ISERROR($V799),"",OFFSET('Smelter Look-up'!$C$4,$V799-4,0)&amp;"")</f>
        <v>China Tin Group Co., Ltd.</v>
      </c>
      <c r="S799" s="181" t="str">
        <f t="shared" ca="1" si="113"/>
        <v>CN</v>
      </c>
      <c r="T799" s="181" t="str">
        <f ca="1">IF(B799="","",IF(ISERROR(MATCH($J799,SorP!$B$1:$B$6226,0)),"",INDIRECT("'SorP'!$A$"&amp;MATCH($S799&amp;$J799,SorP!C:C,0))))</f>
        <v>CN-GX</v>
      </c>
      <c r="U799" s="201"/>
      <c r="V799" s="226">
        <f>IF(C799="",NA(),IF(OR(C799="Smelter not listed",C799="Smelter not yet identified"),MATCH($B799&amp;$D799,'Smelter Look-up'!$J:$J,0),MATCH($B799&amp;$C799,'Smelter Look-up'!$J:$J,0)))</f>
        <v>414</v>
      </c>
      <c r="X799" s="227">
        <f t="shared" si="114"/>
        <v>0</v>
      </c>
      <c r="AB799" s="228" t="str">
        <f t="shared" si="115"/>
        <v>TinChina Tin Group Co., Ltd.</v>
      </c>
    </row>
    <row r="800" spans="1:28" s="227" customFormat="1" ht="40.5">
      <c r="A800" s="301" t="s">
        <v>765</v>
      </c>
      <c r="B800" s="293" t="s">
        <v>1120</v>
      </c>
      <c r="C800" s="294" t="s">
        <v>1762</v>
      </c>
      <c r="D800" s="295" t="s">
        <v>1315</v>
      </c>
      <c r="E800" s="293" t="s">
        <v>1090</v>
      </c>
      <c r="F800" s="293" t="s">
        <v>765</v>
      </c>
      <c r="G800" s="293" t="s">
        <v>15865</v>
      </c>
      <c r="H800" s="296" t="s">
        <v>15855</v>
      </c>
      <c r="I800" s="297" t="s">
        <v>1761</v>
      </c>
      <c r="J800" s="297" t="s">
        <v>16559</v>
      </c>
      <c r="K800" s="298" t="s">
        <v>15855</v>
      </c>
      <c r="L800" s="298" t="s">
        <v>15855</v>
      </c>
      <c r="M800" s="298" t="s">
        <v>15855</v>
      </c>
      <c r="N800" s="298" t="s">
        <v>15855</v>
      </c>
      <c r="O800" s="298" t="s">
        <v>15855</v>
      </c>
      <c r="P800" s="299" t="s">
        <v>15857</v>
      </c>
      <c r="Q800" s="300" t="s">
        <v>15855</v>
      </c>
      <c r="R800" s="182" t="str">
        <f ca="1">IF(ISERROR($V800),"",OFFSET('Smelter Look-up'!$C$4,$V800-4,0)&amp;"")</f>
        <v>China Tin Group Co., Ltd.</v>
      </c>
      <c r="S800" s="181" t="str">
        <f t="shared" ca="1" si="113"/>
        <v>CN</v>
      </c>
      <c r="T800" s="181" t="str">
        <f ca="1">IF(B800="","",IF(ISERROR(MATCH($J800,SorP!$B$1:$B$6226,0)),"",INDIRECT("'SorP'!$A$"&amp;MATCH($S800&amp;$J800,SorP!C:C,0))))</f>
        <v/>
      </c>
      <c r="U800" s="201"/>
      <c r="V800" s="226">
        <f>IF(C800="",NA(),IF(OR(C800="Smelter not listed",C800="Smelter not yet identified"),MATCH($B800&amp;$D800,'Smelter Look-up'!$J:$J,0),MATCH($B800&amp;$C800,'Smelter Look-up'!$J:$J,0)))</f>
        <v>453</v>
      </c>
      <c r="X800" s="227">
        <f t="shared" si="114"/>
        <v>0</v>
      </c>
      <c r="AB800" s="228" t="str">
        <f t="shared" si="115"/>
        <v>TinGuang Xi Liu Xhou</v>
      </c>
    </row>
    <row r="801" spans="1:28" s="227" customFormat="1" ht="40.5">
      <c r="A801" s="301" t="s">
        <v>765</v>
      </c>
      <c r="B801" s="293" t="s">
        <v>1120</v>
      </c>
      <c r="C801" s="294" t="s">
        <v>1762</v>
      </c>
      <c r="D801" s="295" t="s">
        <v>1315</v>
      </c>
      <c r="E801" s="293" t="s">
        <v>1090</v>
      </c>
      <c r="F801" s="293" t="s">
        <v>765</v>
      </c>
      <c r="G801" s="293" t="s">
        <v>13217</v>
      </c>
      <c r="H801" s="296" t="s">
        <v>15855</v>
      </c>
      <c r="I801" s="297" t="s">
        <v>1761</v>
      </c>
      <c r="J801" s="297" t="s">
        <v>13580</v>
      </c>
      <c r="K801" s="298" t="s">
        <v>15855</v>
      </c>
      <c r="L801" s="298" t="s">
        <v>15855</v>
      </c>
      <c r="M801" s="298" t="s">
        <v>15855</v>
      </c>
      <c r="N801" s="298" t="s">
        <v>15855</v>
      </c>
      <c r="O801" s="298" t="s">
        <v>15855</v>
      </c>
      <c r="P801" s="299" t="s">
        <v>15857</v>
      </c>
      <c r="Q801" s="300" t="s">
        <v>15855</v>
      </c>
      <c r="R801" s="182" t="str">
        <f ca="1">IF(ISERROR($V801),"",OFFSET('Smelter Look-up'!$C$4,$V801-4,0)&amp;"")</f>
        <v>China Tin Group Co., Ltd.</v>
      </c>
      <c r="S801" s="181" t="str">
        <f t="shared" ca="1" si="113"/>
        <v>CN</v>
      </c>
      <c r="T801" s="181" t="str">
        <f ca="1">IF(B801="","",IF(ISERROR(MATCH($J801,SorP!$B$1:$B$6226,0)),"",INDIRECT("'SorP'!$A$"&amp;MATCH($S801&amp;$J801,SorP!C:C,0))))</f>
        <v>CN-GX</v>
      </c>
      <c r="U801" s="201"/>
      <c r="V801" s="226">
        <f>IF(C801="",NA(),IF(OR(C801="Smelter not listed",C801="Smelter not yet identified"),MATCH($B801&amp;$D801,'Smelter Look-up'!$J:$J,0),MATCH($B801&amp;$C801,'Smelter Look-up'!$J:$J,0)))</f>
        <v>453</v>
      </c>
      <c r="X801" s="227">
        <f t="shared" si="114"/>
        <v>0</v>
      </c>
      <c r="AB801" s="228" t="str">
        <f t="shared" si="115"/>
        <v>TinGuang Xi Liu Xhou</v>
      </c>
    </row>
    <row r="802" spans="1:28" s="227" customFormat="1" ht="40.5">
      <c r="A802" s="301" t="s">
        <v>765</v>
      </c>
      <c r="B802" s="293" t="s">
        <v>1120</v>
      </c>
      <c r="C802" s="294" t="s">
        <v>2319</v>
      </c>
      <c r="D802" s="295" t="s">
        <v>1315</v>
      </c>
      <c r="E802" s="293" t="s">
        <v>1090</v>
      </c>
      <c r="F802" s="293" t="s">
        <v>765</v>
      </c>
      <c r="G802" s="293" t="s">
        <v>13217</v>
      </c>
      <c r="H802" s="296" t="s">
        <v>15855</v>
      </c>
      <c r="I802" s="297" t="s">
        <v>1761</v>
      </c>
      <c r="J802" s="297" t="s">
        <v>13580</v>
      </c>
      <c r="K802" s="298" t="s">
        <v>15855</v>
      </c>
      <c r="L802" s="298" t="s">
        <v>15855</v>
      </c>
      <c r="M802" s="298" t="s">
        <v>15855</v>
      </c>
      <c r="N802" s="298" t="s">
        <v>15855</v>
      </c>
      <c r="O802" s="298" t="s">
        <v>15855</v>
      </c>
      <c r="P802" s="299" t="s">
        <v>15857</v>
      </c>
      <c r="Q802" s="300" t="s">
        <v>15855</v>
      </c>
      <c r="R802" s="182" t="str">
        <f ca="1">IF(ISERROR($V802),"",OFFSET('Smelter Look-up'!$C$4,$V802-4,0)&amp;"")</f>
        <v>China Tin Group Co., Ltd.</v>
      </c>
      <c r="S802" s="181" t="str">
        <f t="shared" ca="1" si="113"/>
        <v>CN</v>
      </c>
      <c r="T802" s="181" t="str">
        <f ca="1">IF(B802="","",IF(ISERROR(MATCH($J802,SorP!$B$1:$B$6226,0)),"",INDIRECT("'SorP'!$A$"&amp;MATCH($S802&amp;$J802,SorP!C:C,0))))</f>
        <v>CN-GX</v>
      </c>
      <c r="U802" s="201"/>
      <c r="V802" s="226">
        <f>IF(C802="",NA(),IF(OR(C802="Smelter not listed",C802="Smelter not yet identified"),MATCH($B802&amp;$D802,'Smelter Look-up'!$J:$J,0),MATCH($B802&amp;$C802,'Smelter Look-up'!$J:$J,0)))</f>
        <v>454</v>
      </c>
      <c r="X802" s="227">
        <f t="shared" si="114"/>
        <v>0</v>
      </c>
      <c r="AB802" s="228" t="str">
        <f t="shared" si="115"/>
        <v>TinGuang Xi Liu Zhou</v>
      </c>
    </row>
    <row r="803" spans="1:28" s="227" customFormat="1" ht="54">
      <c r="A803" s="301" t="s">
        <v>765</v>
      </c>
      <c r="B803" s="293" t="s">
        <v>1120</v>
      </c>
      <c r="C803" s="294" t="s">
        <v>39</v>
      </c>
      <c r="D803" s="295" t="s">
        <v>1315</v>
      </c>
      <c r="E803" s="293" t="s">
        <v>1090</v>
      </c>
      <c r="F803" s="293" t="s">
        <v>765</v>
      </c>
      <c r="G803" s="293" t="s">
        <v>13217</v>
      </c>
      <c r="H803" s="296" t="s">
        <v>15855</v>
      </c>
      <c r="I803" s="297" t="s">
        <v>1761</v>
      </c>
      <c r="J803" s="297" t="s">
        <v>13580</v>
      </c>
      <c r="K803" s="298" t="s">
        <v>15855</v>
      </c>
      <c r="L803" s="298" t="s">
        <v>15855</v>
      </c>
      <c r="M803" s="298" t="s">
        <v>15855</v>
      </c>
      <c r="N803" s="298" t="s">
        <v>15855</v>
      </c>
      <c r="O803" s="298" t="s">
        <v>15855</v>
      </c>
      <c r="P803" s="299" t="s">
        <v>15857</v>
      </c>
      <c r="Q803" s="300" t="s">
        <v>15855</v>
      </c>
      <c r="R803" s="182" t="str">
        <f ca="1">IF(ISERROR($V803),"",OFFSET('Smelter Look-up'!$C$4,$V803-4,0)&amp;"")</f>
        <v>China Tin Group Co., Ltd.</v>
      </c>
      <c r="S803" s="181" t="str">
        <f t="shared" ca="1" si="113"/>
        <v>CN</v>
      </c>
      <c r="T803" s="181" t="str">
        <f ca="1">IF(B803="","",IF(ISERROR(MATCH($J803,SorP!$B$1:$B$6226,0)),"",INDIRECT("'SorP'!$A$"&amp;MATCH($S803&amp;$J803,SorP!C:C,0))))</f>
        <v>CN-GX</v>
      </c>
      <c r="U803" s="201"/>
      <c r="V803" s="226">
        <f>IF(C803="",NA(),IF(OR(C803="Smelter not listed",C803="Smelter not yet identified"),MATCH($B803&amp;$D803,'Smelter Look-up'!$J:$J,0),MATCH($B803&amp;$C803,'Smelter Look-up'!$J:$J,0)))</f>
        <v>456</v>
      </c>
      <c r="X803" s="227">
        <f t="shared" si="114"/>
        <v>0</v>
      </c>
      <c r="AB803" s="228" t="str">
        <f t="shared" si="115"/>
        <v>TinGuangXi China Tin</v>
      </c>
    </row>
    <row r="804" spans="1:28" s="227" customFormat="1" ht="67.5">
      <c r="A804" s="301" t="s">
        <v>765</v>
      </c>
      <c r="B804" s="293" t="s">
        <v>1120</v>
      </c>
      <c r="C804" s="294" t="s">
        <v>12909</v>
      </c>
      <c r="D804" s="295" t="s">
        <v>1315</v>
      </c>
      <c r="E804" s="293" t="s">
        <v>1090</v>
      </c>
      <c r="F804" s="293" t="s">
        <v>765</v>
      </c>
      <c r="G804" s="293" t="s">
        <v>13217</v>
      </c>
      <c r="H804" s="296" t="s">
        <v>15855</v>
      </c>
      <c r="I804" s="297" t="s">
        <v>1761</v>
      </c>
      <c r="J804" s="297" t="s">
        <v>13580</v>
      </c>
      <c r="K804" s="298" t="s">
        <v>15855</v>
      </c>
      <c r="L804" s="298" t="s">
        <v>15855</v>
      </c>
      <c r="M804" s="298" t="s">
        <v>15855</v>
      </c>
      <c r="N804" s="298" t="s">
        <v>15855</v>
      </c>
      <c r="O804" s="298" t="s">
        <v>15855</v>
      </c>
      <c r="P804" s="299" t="s">
        <v>15857</v>
      </c>
      <c r="Q804" s="300" t="s">
        <v>15855</v>
      </c>
      <c r="R804" s="182" t="str">
        <f ca="1">IF(ISERROR($V804),"",OFFSET('Smelter Look-up'!$C$4,$V804-4,0)&amp;"")</f>
        <v>China Tin Group Co., Ltd.</v>
      </c>
      <c r="S804" s="181" t="str">
        <f t="shared" ca="1" si="113"/>
        <v>CN</v>
      </c>
      <c r="T804" s="181" t="str">
        <f ca="1">IF(B804="","",IF(ISERROR(MATCH($J804,SorP!$B$1:$B$6226,0)),"",INDIRECT("'SorP'!$A$"&amp;MATCH($S804&amp;$J804,SorP!C:C,0))))</f>
        <v>CN-GX</v>
      </c>
      <c r="U804" s="201"/>
      <c r="V804" s="226">
        <f>IF(C804="",NA(),IF(OR(C804="Smelter not listed",C804="Smelter not yet identified"),MATCH($B804&amp;$D804,'Smelter Look-up'!$J:$J,0),MATCH($B804&amp;$C804,'Smelter Look-up'!$J:$J,0)))</f>
        <v>457</v>
      </c>
      <c r="X804" s="227">
        <f t="shared" si="114"/>
        <v>0</v>
      </c>
      <c r="AB804" s="228" t="str">
        <f t="shared" si="115"/>
        <v>TinGuangxi Hua Shu Dan CO., LTD.</v>
      </c>
    </row>
    <row r="805" spans="1:28" s="227" customFormat="1" ht="94.5">
      <c r="A805" s="301" t="s">
        <v>765</v>
      </c>
      <c r="B805" s="293" t="s">
        <v>1120</v>
      </c>
      <c r="C805" s="294" t="s">
        <v>1765</v>
      </c>
      <c r="D805" s="295" t="s">
        <v>1315</v>
      </c>
      <c r="E805" s="293" t="s">
        <v>1090</v>
      </c>
      <c r="F805" s="293" t="s">
        <v>765</v>
      </c>
      <c r="G805" s="293" t="s">
        <v>15865</v>
      </c>
      <c r="H805" s="296" t="s">
        <v>15855</v>
      </c>
      <c r="I805" s="297" t="s">
        <v>1761</v>
      </c>
      <c r="J805" s="297" t="s">
        <v>16559</v>
      </c>
      <c r="K805" s="298" t="s">
        <v>15855</v>
      </c>
      <c r="L805" s="298" t="s">
        <v>15855</v>
      </c>
      <c r="M805" s="298" t="s">
        <v>15855</v>
      </c>
      <c r="N805" s="298" t="s">
        <v>15855</v>
      </c>
      <c r="O805" s="298" t="s">
        <v>15855</v>
      </c>
      <c r="P805" s="299" t="s">
        <v>15857</v>
      </c>
      <c r="Q805" s="300" t="s">
        <v>15855</v>
      </c>
      <c r="R805" s="182" t="str">
        <f ca="1">IF(ISERROR($V805),"",OFFSET('Smelter Look-up'!$C$4,$V805-4,0)&amp;"")</f>
        <v/>
      </c>
      <c r="S805" s="181" t="str">
        <f t="shared" ca="1" si="113"/>
        <v>CN</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si="114"/>
        <v>0</v>
      </c>
      <c r="AB805" s="228" t="str">
        <f t="shared" si="115"/>
        <v>TinXiHai - Liuzhou China Tin Group Co ltd</v>
      </c>
    </row>
    <row r="806" spans="1:28" s="227" customFormat="1" ht="94.5">
      <c r="A806" s="301" t="s">
        <v>765</v>
      </c>
      <c r="B806" s="293" t="s">
        <v>1120</v>
      </c>
      <c r="C806" s="294" t="s">
        <v>1765</v>
      </c>
      <c r="D806" s="295" t="s">
        <v>1315</v>
      </c>
      <c r="E806" s="293" t="s">
        <v>1090</v>
      </c>
      <c r="F806" s="293" t="s">
        <v>765</v>
      </c>
      <c r="G806" s="293" t="s">
        <v>13217</v>
      </c>
      <c r="H806" s="296" t="s">
        <v>15855</v>
      </c>
      <c r="I806" s="297" t="s">
        <v>1761</v>
      </c>
      <c r="J806" s="297" t="s">
        <v>13580</v>
      </c>
      <c r="K806" s="298" t="s">
        <v>15855</v>
      </c>
      <c r="L806" s="298" t="s">
        <v>15855</v>
      </c>
      <c r="M806" s="298" t="s">
        <v>15855</v>
      </c>
      <c r="N806" s="298" t="s">
        <v>15855</v>
      </c>
      <c r="O806" s="298" t="s">
        <v>15855</v>
      </c>
      <c r="P806" s="299" t="s">
        <v>15857</v>
      </c>
      <c r="Q806" s="300" t="s">
        <v>15855</v>
      </c>
      <c r="R806" s="182" t="str">
        <f ca="1">IF(ISERROR($V806),"",OFFSET('Smelter Look-up'!$C$4,$V806-4,0)&amp;"")</f>
        <v/>
      </c>
      <c r="S806" s="181" t="str">
        <f t="shared" ca="1" si="113"/>
        <v>CN</v>
      </c>
      <c r="T806" s="181" t="str">
        <f ca="1">IF(B806="","",IF(ISERROR(MATCH($J806,SorP!$B$1:$B$6226,0)),"",INDIRECT("'SorP'!$A$"&amp;MATCH($S806&amp;$J806,SorP!C:C,0))))</f>
        <v>CN-GX</v>
      </c>
      <c r="U806" s="201"/>
      <c r="V806" s="226" t="e">
        <f>IF(C806="",NA(),IF(OR(C806="Smelter not listed",C806="Smelter not yet identified"),MATCH($B806&amp;$D806,'Smelter Look-up'!$J:$J,0),MATCH($B806&amp;$C806,'Smelter Look-up'!$J:$J,0)))</f>
        <v>#N/A</v>
      </c>
      <c r="X806" s="227">
        <f t="shared" si="114"/>
        <v>0</v>
      </c>
      <c r="AB806" s="228" t="str">
        <f t="shared" si="115"/>
        <v>TinXiHai - Liuzhou China Tin Group Co ltd</v>
      </c>
    </row>
    <row r="807" spans="1:28" s="227" customFormat="1" ht="162">
      <c r="A807" s="301" t="s">
        <v>15057</v>
      </c>
      <c r="B807" s="293" t="s">
        <v>1120</v>
      </c>
      <c r="C807" s="294" t="s">
        <v>15056</v>
      </c>
      <c r="D807" s="295" t="s">
        <v>15056</v>
      </c>
      <c r="E807" s="293" t="s">
        <v>1086</v>
      </c>
      <c r="F807" s="293" t="s">
        <v>15057</v>
      </c>
      <c r="G807" s="293" t="s">
        <v>13217</v>
      </c>
      <c r="H807" s="296" t="s">
        <v>15855</v>
      </c>
      <c r="I807" s="297" t="s">
        <v>15107</v>
      </c>
      <c r="J807" s="297" t="s">
        <v>3443</v>
      </c>
      <c r="K807" s="298" t="s">
        <v>15855</v>
      </c>
      <c r="L807" s="298" t="s">
        <v>15855</v>
      </c>
      <c r="M807" s="298" t="s">
        <v>15855</v>
      </c>
      <c r="N807" s="298" t="s">
        <v>15855</v>
      </c>
      <c r="O807" s="298" t="s">
        <v>15858</v>
      </c>
      <c r="P807" s="299" t="s">
        <v>15857</v>
      </c>
      <c r="Q807" s="300" t="s">
        <v>15855</v>
      </c>
      <c r="R807" s="182" t="str">
        <f ca="1">IF(ISERROR($V807),"",OFFSET('Smelter Look-up'!$C$4,$V807-4,0)&amp;"")</f>
        <v>CRM Fundicao De Metais E Comercio De Equipamentos Eletronicos Do Brasil Ltda</v>
      </c>
      <c r="S807" s="181" t="str">
        <f t="shared" ca="1" si="113"/>
        <v>BR</v>
      </c>
      <c r="T807" s="181" t="str">
        <f ca="1">IF(B807="","",IF(ISERROR(MATCH($J807,SorP!$B$1:$B$6226,0)),"",INDIRECT("'SorP'!$A$"&amp;MATCH($S807&amp;$J807,SorP!C:C,0))))</f>
        <v>BR-SC</v>
      </c>
      <c r="U807" s="201"/>
      <c r="V807" s="226">
        <f>IF(C807="",NA(),IF(OR(C807="Smelter not listed",C807="Smelter not yet identified"),MATCH($B807&amp;$D807,'Smelter Look-up'!$J:$J,0),MATCH($B807&amp;$C807,'Smelter Look-up'!$J:$J,0)))</f>
        <v>420</v>
      </c>
      <c r="X807" s="227">
        <f t="shared" si="114"/>
        <v>0</v>
      </c>
      <c r="AB807" s="228" t="str">
        <f t="shared" si="115"/>
        <v>TinCRM Fundicao De Metais E Comercio De Equipamentos Eletronicos Do Brasil Ltda</v>
      </c>
    </row>
    <row r="808" spans="1:28" s="227" customFormat="1" ht="40.5">
      <c r="A808" s="301" t="s">
        <v>15060</v>
      </c>
      <c r="B808" s="293" t="s">
        <v>1120</v>
      </c>
      <c r="C808" s="294" t="s">
        <v>15059</v>
      </c>
      <c r="D808" s="295" t="s">
        <v>15059</v>
      </c>
      <c r="E808" s="293" t="s">
        <v>1092</v>
      </c>
      <c r="F808" s="293" t="s">
        <v>15060</v>
      </c>
      <c r="G808" s="293" t="s">
        <v>13217</v>
      </c>
      <c r="H808" s="296" t="s">
        <v>15855</v>
      </c>
      <c r="I808" s="297" t="s">
        <v>3633</v>
      </c>
      <c r="J808" s="297" t="s">
        <v>3633</v>
      </c>
      <c r="K808" s="298" t="s">
        <v>15855</v>
      </c>
      <c r="L808" s="298" t="s">
        <v>15855</v>
      </c>
      <c r="M808" s="298" t="s">
        <v>15855</v>
      </c>
      <c r="N808" s="298" t="s">
        <v>15855</v>
      </c>
      <c r="O808" s="298" t="s">
        <v>15855</v>
      </c>
      <c r="P808" s="299" t="s">
        <v>15857</v>
      </c>
      <c r="Q808" s="300" t="s">
        <v>15855</v>
      </c>
      <c r="R808" s="182" t="str">
        <f ca="1">IF(ISERROR($V808),"",OFFSET('Smelter Look-up'!$C$4,$V808-4,0)&amp;"")</f>
        <v>CRM Synergies</v>
      </c>
      <c r="S808" s="181" t="str">
        <f t="shared" ca="1" si="113"/>
        <v>ES</v>
      </c>
      <c r="T808" s="181" t="str">
        <f ca="1">IF(B808="","",IF(ISERROR(MATCH($J808,SorP!$B$1:$B$6226,0)),"",INDIRECT("'SorP'!$A$"&amp;MATCH($S808&amp;$J808,SorP!C:C,0))))</f>
        <v>ES-TO</v>
      </c>
      <c r="U808" s="201"/>
      <c r="V808" s="226">
        <f>IF(C808="",NA(),IF(OR(C808="Smelter not listed",C808="Smelter not yet identified"),MATCH($B808&amp;$D808,'Smelter Look-up'!$J:$J,0),MATCH($B808&amp;$C808,'Smelter Look-up'!$J:$J,0)))</f>
        <v>422</v>
      </c>
      <c r="X808" s="227">
        <f t="shared" si="114"/>
        <v>0</v>
      </c>
      <c r="AB808" s="228" t="str">
        <f t="shared" si="115"/>
        <v>TinCRM Synergies</v>
      </c>
    </row>
    <row r="809" spans="1:28" s="227" customFormat="1" ht="40.5">
      <c r="A809" s="301" t="s">
        <v>15060</v>
      </c>
      <c r="B809" s="293" t="s">
        <v>1120</v>
      </c>
      <c r="C809" s="294" t="s">
        <v>15059</v>
      </c>
      <c r="D809" s="295" t="s">
        <v>15059</v>
      </c>
      <c r="E809" s="293" t="s">
        <v>1092</v>
      </c>
      <c r="F809" s="293" t="s">
        <v>15060</v>
      </c>
      <c r="G809" s="293" t="s">
        <v>13217</v>
      </c>
      <c r="H809" s="296" t="s">
        <v>15855</v>
      </c>
      <c r="I809" s="297" t="s">
        <v>3633</v>
      </c>
      <c r="J809" s="297" t="s">
        <v>3633</v>
      </c>
      <c r="K809" s="298" t="s">
        <v>15855</v>
      </c>
      <c r="L809" s="298" t="s">
        <v>15855</v>
      </c>
      <c r="M809" s="298" t="s">
        <v>15855</v>
      </c>
      <c r="N809" s="298" t="s">
        <v>15855</v>
      </c>
      <c r="O809" s="298" t="s">
        <v>15858</v>
      </c>
      <c r="P809" s="299" t="s">
        <v>15857</v>
      </c>
      <c r="Q809" s="300" t="s">
        <v>15855</v>
      </c>
      <c r="R809" s="182" t="str">
        <f ca="1">IF(ISERROR($V809),"",OFFSET('Smelter Look-up'!$C$4,$V809-4,0)&amp;"")</f>
        <v>CRM Synergies</v>
      </c>
      <c r="S809" s="181" t="str">
        <f t="shared" ca="1" si="113"/>
        <v>ES</v>
      </c>
      <c r="T809" s="181" t="str">
        <f ca="1">IF(B809="","",IF(ISERROR(MATCH($J809,SorP!$B$1:$B$6226,0)),"",INDIRECT("'SorP'!$A$"&amp;MATCH($S809&amp;$J809,SorP!C:C,0))))</f>
        <v>ES-TO</v>
      </c>
      <c r="U809" s="201"/>
      <c r="V809" s="226">
        <f>IF(C809="",NA(),IF(OR(C809="Smelter not listed",C809="Smelter not yet identified"),MATCH($B809&amp;$D809,'Smelter Look-up'!$J:$J,0),MATCH($B809&amp;$C809,'Smelter Look-up'!$J:$J,0)))</f>
        <v>422</v>
      </c>
      <c r="X809" s="227">
        <f t="shared" si="114"/>
        <v>0</v>
      </c>
      <c r="AB809" s="228" t="str">
        <f t="shared" si="115"/>
        <v>TinCRM Synergies</v>
      </c>
    </row>
    <row r="810" spans="1:28" s="227" customFormat="1" ht="27">
      <c r="A810" s="301" t="s">
        <v>15499</v>
      </c>
      <c r="B810" s="293" t="s">
        <v>1120</v>
      </c>
      <c r="C810" s="294" t="s">
        <v>15498</v>
      </c>
      <c r="D810" s="295" t="s">
        <v>15498</v>
      </c>
      <c r="E810" s="293" t="s">
        <v>1095</v>
      </c>
      <c r="F810" s="293" t="s">
        <v>15499</v>
      </c>
      <c r="G810" s="293" t="s">
        <v>13217</v>
      </c>
      <c r="H810" s="296" t="s">
        <v>15855</v>
      </c>
      <c r="I810" s="297" t="s">
        <v>1753</v>
      </c>
      <c r="J810" s="297" t="s">
        <v>12830</v>
      </c>
      <c r="K810" s="298" t="s">
        <v>15855</v>
      </c>
      <c r="L810" s="298" t="s">
        <v>15855</v>
      </c>
      <c r="M810" s="298" t="s">
        <v>15855</v>
      </c>
      <c r="N810" s="298" t="s">
        <v>15855</v>
      </c>
      <c r="O810" s="298" t="s">
        <v>15855</v>
      </c>
      <c r="P810" s="299" t="s">
        <v>15857</v>
      </c>
      <c r="Q810" s="300" t="s">
        <v>15855</v>
      </c>
      <c r="R810" s="182" t="str">
        <f ca="1">IF(ISERROR($V810),"",OFFSET('Smelter Look-up'!$C$4,$V810-4,0)&amp;"")</f>
        <v>CV Ayi Jaya</v>
      </c>
      <c r="S810" s="181" t="str">
        <f t="shared" ca="1" si="113"/>
        <v>ID</v>
      </c>
      <c r="T810" s="181" t="str">
        <f ca="1">IF(B810="","",IF(ISERROR(MATCH($J810,SorP!$B$1:$B$6226,0)),"",INDIRECT("'SorP'!$A$"&amp;MATCH($S810&amp;$J810,SorP!C:C,0))))</f>
        <v>ID-BB</v>
      </c>
      <c r="U810" s="201"/>
      <c r="V810" s="226">
        <f>IF(C810="",NA(),IF(OR(C810="Smelter not listed",C810="Smelter not yet identified"),MATCH($B810&amp;$D810,'Smelter Look-up'!$J:$J,0),MATCH($B810&amp;$C810,'Smelter Look-up'!$J:$J,0)))</f>
        <v>423</v>
      </c>
      <c r="X810" s="227">
        <f t="shared" si="114"/>
        <v>0</v>
      </c>
      <c r="AB810" s="228" t="str">
        <f t="shared" si="115"/>
        <v>TinCV Ayi Jaya</v>
      </c>
    </row>
    <row r="811" spans="1:28" s="227" customFormat="1" ht="27">
      <c r="A811" s="301" t="s">
        <v>15499</v>
      </c>
      <c r="B811" s="293" t="s">
        <v>1120</v>
      </c>
      <c r="C811" s="294" t="s">
        <v>15498</v>
      </c>
      <c r="D811" s="295" t="s">
        <v>15498</v>
      </c>
      <c r="E811" s="293" t="s">
        <v>1095</v>
      </c>
      <c r="F811" s="293" t="s">
        <v>15499</v>
      </c>
      <c r="G811" s="293" t="s">
        <v>13217</v>
      </c>
      <c r="H811" s="296" t="s">
        <v>15855</v>
      </c>
      <c r="I811" s="297" t="s">
        <v>1753</v>
      </c>
      <c r="J811" s="297" t="s">
        <v>12830</v>
      </c>
      <c r="K811" s="298" t="s">
        <v>15855</v>
      </c>
      <c r="L811" s="298" t="s">
        <v>15855</v>
      </c>
      <c r="M811" s="298" t="s">
        <v>15855</v>
      </c>
      <c r="N811" s="298" t="s">
        <v>15855</v>
      </c>
      <c r="O811" s="298" t="s">
        <v>15858</v>
      </c>
      <c r="P811" s="299" t="s">
        <v>15857</v>
      </c>
      <c r="Q811" s="300" t="s">
        <v>15855</v>
      </c>
      <c r="R811" s="182" t="str">
        <f ca="1">IF(ISERROR($V811),"",OFFSET('Smelter Look-up'!$C$4,$V811-4,0)&amp;"")</f>
        <v>CV Ayi Jaya</v>
      </c>
      <c r="S811" s="181" t="str">
        <f t="shared" ca="1" si="113"/>
        <v>ID</v>
      </c>
      <c r="T811" s="181" t="str">
        <f ca="1">IF(B811="","",IF(ISERROR(MATCH($J811,SorP!$B$1:$B$6226,0)),"",INDIRECT("'SorP'!$A$"&amp;MATCH($S811&amp;$J811,SorP!C:C,0))))</f>
        <v>ID-BB</v>
      </c>
      <c r="U811" s="201"/>
      <c r="V811" s="226">
        <f>IF(C811="",NA(),IF(OR(C811="Smelter not listed",C811="Smelter not yet identified"),MATCH($B811&amp;$D811,'Smelter Look-up'!$J:$J,0),MATCH($B811&amp;$C811,'Smelter Look-up'!$J:$J,0)))</f>
        <v>423</v>
      </c>
      <c r="X811" s="227">
        <f t="shared" si="114"/>
        <v>0</v>
      </c>
      <c r="AB811" s="228" t="str">
        <f t="shared" si="115"/>
        <v>TinCV Ayi Jaya</v>
      </c>
    </row>
    <row r="812" spans="1:28" s="227" customFormat="1" ht="27">
      <c r="A812" s="301" t="s">
        <v>15499</v>
      </c>
      <c r="B812" s="293" t="s">
        <v>1120</v>
      </c>
      <c r="C812" s="294" t="s">
        <v>15498</v>
      </c>
      <c r="D812" s="295" t="s">
        <v>15498</v>
      </c>
      <c r="E812" s="293" t="s">
        <v>1095</v>
      </c>
      <c r="F812" s="293" t="s">
        <v>15499</v>
      </c>
      <c r="G812" s="293" t="s">
        <v>13217</v>
      </c>
      <c r="H812" s="302" t="s">
        <v>15880</v>
      </c>
      <c r="I812" s="297" t="s">
        <v>1753</v>
      </c>
      <c r="J812" s="297" t="s">
        <v>12830</v>
      </c>
      <c r="K812" s="298" t="s">
        <v>15855</v>
      </c>
      <c r="L812" s="298" t="s">
        <v>15855</v>
      </c>
      <c r="M812" s="298" t="s">
        <v>15855</v>
      </c>
      <c r="N812" s="298" t="s">
        <v>15855</v>
      </c>
      <c r="O812" s="298" t="s">
        <v>15855</v>
      </c>
      <c r="P812" s="299" t="s">
        <v>15857</v>
      </c>
      <c r="Q812" s="300" t="s">
        <v>15855</v>
      </c>
      <c r="R812" s="182" t="str">
        <f ca="1">IF(ISERROR($V812),"",OFFSET('Smelter Look-up'!$C$4,$V812-4,0)&amp;"")</f>
        <v>CV Ayi Jaya</v>
      </c>
      <c r="S812" s="181" t="str">
        <f t="shared" ca="1" si="113"/>
        <v>ID</v>
      </c>
      <c r="T812" s="181" t="str">
        <f ca="1">IF(B812="","",IF(ISERROR(MATCH($J812,SorP!$B$1:$B$6226,0)),"",INDIRECT("'SorP'!$A$"&amp;MATCH($S812&amp;$J812,SorP!C:C,0))))</f>
        <v>ID-BB</v>
      </c>
      <c r="U812" s="201"/>
      <c r="V812" s="226">
        <f>IF(C812="",NA(),IF(OR(C812="Smelter not listed",C812="Smelter not yet identified"),MATCH($B812&amp;$D812,'Smelter Look-up'!$J:$J,0),MATCH($B812&amp;$C812,'Smelter Look-up'!$J:$J,0)))</f>
        <v>423</v>
      </c>
      <c r="X812" s="227">
        <f t="shared" si="114"/>
        <v>0</v>
      </c>
      <c r="AB812" s="228" t="str">
        <f t="shared" si="115"/>
        <v>TinCV Ayi Jaya</v>
      </c>
    </row>
    <row r="813" spans="1:28" s="227" customFormat="1" ht="40.5">
      <c r="A813" s="301" t="s">
        <v>16563</v>
      </c>
      <c r="B813" s="293" t="s">
        <v>1120</v>
      </c>
      <c r="C813" s="294" t="s">
        <v>16564</v>
      </c>
      <c r="D813" s="295" t="s">
        <v>16564</v>
      </c>
      <c r="E813" s="293" t="s">
        <v>1095</v>
      </c>
      <c r="F813" s="293" t="s">
        <v>16563</v>
      </c>
      <c r="G813" s="293" t="s">
        <v>13217</v>
      </c>
      <c r="H813" s="296" t="s">
        <v>15855</v>
      </c>
      <c r="I813" s="297" t="s">
        <v>15109</v>
      </c>
      <c r="J813" s="297" t="s">
        <v>12830</v>
      </c>
      <c r="K813" s="298" t="s">
        <v>15855</v>
      </c>
      <c r="L813" s="298" t="s">
        <v>15855</v>
      </c>
      <c r="M813" s="298" t="s">
        <v>15855</v>
      </c>
      <c r="N813" s="298" t="s">
        <v>15855</v>
      </c>
      <c r="O813" s="298" t="s">
        <v>15855</v>
      </c>
      <c r="P813" s="299" t="s">
        <v>15857</v>
      </c>
      <c r="Q813" s="300" t="s">
        <v>16531</v>
      </c>
      <c r="R813" s="182" t="str">
        <f ca="1">IF(ISERROR($V813),"",OFFSET('Smelter Look-up'!$C$4,$V813-4,0)&amp;"")</f>
        <v/>
      </c>
      <c r="S813" s="181" t="str">
        <f t="shared" ca="1" si="113"/>
        <v>ID</v>
      </c>
      <c r="T813" s="181" t="str">
        <f ca="1">IF(B813="","",IF(ISERROR(MATCH($J813,SorP!$B$1:$B$6226,0)),"",INDIRECT("'SorP'!$A$"&amp;MATCH($S813&amp;$J813,SorP!C:C,0))))</f>
        <v>ID-BB</v>
      </c>
      <c r="U813" s="201"/>
      <c r="V813" s="226" t="e">
        <f>IF(C813="",NA(),IF(OR(C813="Smelter not listed",C813="Smelter not yet identified"),MATCH($B813&amp;$D813,'Smelter Look-up'!$J:$J,0),MATCH($B813&amp;$C813,'Smelter Look-up'!$J:$J,0)))</f>
        <v>#N/A</v>
      </c>
      <c r="X813" s="227">
        <f t="shared" si="114"/>
        <v>0</v>
      </c>
      <c r="AB813" s="228" t="str">
        <f t="shared" si="115"/>
        <v>TinCV Dua Sekawan</v>
      </c>
    </row>
    <row r="814" spans="1:28" s="227" customFormat="1" ht="40.5">
      <c r="A814" s="301" t="s">
        <v>16563</v>
      </c>
      <c r="B814" s="293" t="s">
        <v>1120</v>
      </c>
      <c r="C814" s="294" t="s">
        <v>16564</v>
      </c>
      <c r="D814" s="295" t="s">
        <v>16564</v>
      </c>
      <c r="E814" s="293" t="s">
        <v>1095</v>
      </c>
      <c r="F814" s="293" t="s">
        <v>16563</v>
      </c>
      <c r="G814" s="293" t="s">
        <v>13217</v>
      </c>
      <c r="H814" s="302" t="s">
        <v>15880</v>
      </c>
      <c r="I814" s="297" t="s">
        <v>15109</v>
      </c>
      <c r="J814" s="297" t="s">
        <v>12830</v>
      </c>
      <c r="K814" s="298" t="s">
        <v>15855</v>
      </c>
      <c r="L814" s="298" t="s">
        <v>15855</v>
      </c>
      <c r="M814" s="298" t="s">
        <v>15855</v>
      </c>
      <c r="N814" s="298" t="s">
        <v>15855</v>
      </c>
      <c r="O814" s="298" t="s">
        <v>15855</v>
      </c>
      <c r="P814" s="299" t="s">
        <v>15857</v>
      </c>
      <c r="Q814" s="300" t="s">
        <v>15855</v>
      </c>
      <c r="R814" s="182" t="str">
        <f ca="1">IF(ISERROR($V814),"",OFFSET('Smelter Look-up'!$C$4,$V814-4,0)&amp;"")</f>
        <v/>
      </c>
      <c r="S814" s="181" t="str">
        <f t="shared" ca="1" si="113"/>
        <v>ID</v>
      </c>
      <c r="T814" s="181" t="str">
        <f ca="1">IF(B814="","",IF(ISERROR(MATCH($J814,SorP!$B$1:$B$6226,0)),"",INDIRECT("'SorP'!$A$"&amp;MATCH($S814&amp;$J814,SorP!C:C,0))))</f>
        <v>ID-BB</v>
      </c>
      <c r="U814" s="201"/>
      <c r="V814" s="226" t="e">
        <f>IF(C814="",NA(),IF(OR(C814="Smelter not listed",C814="Smelter not yet identified"),MATCH($B814&amp;$D814,'Smelter Look-up'!$J:$J,0),MATCH($B814&amp;$C814,'Smelter Look-up'!$J:$J,0)))</f>
        <v>#N/A</v>
      </c>
      <c r="X814" s="227">
        <f t="shared" si="114"/>
        <v>0</v>
      </c>
      <c r="AB814" s="228" t="str">
        <f t="shared" si="115"/>
        <v>TinCV Dua Sekawan</v>
      </c>
    </row>
    <row r="815" spans="1:28" s="227" customFormat="1" ht="40.5">
      <c r="A815" s="301" t="s">
        <v>16565</v>
      </c>
      <c r="B815" s="293" t="s">
        <v>1120</v>
      </c>
      <c r="C815" s="294" t="s">
        <v>16566</v>
      </c>
      <c r="D815" s="295" t="s">
        <v>16566</v>
      </c>
      <c r="E815" s="293" t="s">
        <v>1095</v>
      </c>
      <c r="F815" s="293" t="s">
        <v>16565</v>
      </c>
      <c r="G815" s="293" t="s">
        <v>13217</v>
      </c>
      <c r="H815" s="296" t="s">
        <v>15855</v>
      </c>
      <c r="I815" s="297" t="s">
        <v>15109</v>
      </c>
      <c r="J815" s="297" t="s">
        <v>12830</v>
      </c>
      <c r="K815" s="298" t="s">
        <v>15855</v>
      </c>
      <c r="L815" s="298" t="s">
        <v>15855</v>
      </c>
      <c r="M815" s="298" t="s">
        <v>15855</v>
      </c>
      <c r="N815" s="298" t="s">
        <v>15855</v>
      </c>
      <c r="O815" s="298" t="s">
        <v>15855</v>
      </c>
      <c r="P815" s="299" t="s">
        <v>15857</v>
      </c>
      <c r="Q815" s="300" t="s">
        <v>15855</v>
      </c>
      <c r="R815" s="182" t="str">
        <f ca="1">IF(ISERROR($V815),"",OFFSET('Smelter Look-up'!$C$4,$V815-4,0)&amp;"")</f>
        <v/>
      </c>
      <c r="S815" s="181" t="str">
        <f t="shared" ca="1" si="113"/>
        <v>ID</v>
      </c>
      <c r="T815" s="181" t="str">
        <f ca="1">IF(B815="","",IF(ISERROR(MATCH($J815,SorP!$B$1:$B$6226,0)),"",INDIRECT("'SorP'!$A$"&amp;MATCH($S815&amp;$J815,SorP!C:C,0))))</f>
        <v>ID-BB</v>
      </c>
      <c r="U815" s="201"/>
      <c r="V815" s="226" t="e">
        <f>IF(C815="",NA(),IF(OR(C815="Smelter not listed",C815="Smelter not yet identified"),MATCH($B815&amp;$D815,'Smelter Look-up'!$J:$J,0),MATCH($B815&amp;$C815,'Smelter Look-up'!$J:$J,0)))</f>
        <v>#N/A</v>
      </c>
      <c r="X815" s="227">
        <f t="shared" si="114"/>
        <v>0</v>
      </c>
      <c r="AB815" s="228" t="str">
        <f t="shared" si="115"/>
        <v>TinCV United Smelting</v>
      </c>
    </row>
    <row r="816" spans="1:28" s="227" customFormat="1" ht="40.5">
      <c r="A816" s="301" t="s">
        <v>16565</v>
      </c>
      <c r="B816" s="293" t="s">
        <v>1120</v>
      </c>
      <c r="C816" s="294" t="s">
        <v>16566</v>
      </c>
      <c r="D816" s="295" t="s">
        <v>16566</v>
      </c>
      <c r="E816" s="293" t="s">
        <v>1095</v>
      </c>
      <c r="F816" s="293" t="s">
        <v>16565</v>
      </c>
      <c r="G816" s="293" t="s">
        <v>13217</v>
      </c>
      <c r="H816" s="302" t="s">
        <v>15880</v>
      </c>
      <c r="I816" s="297" t="s">
        <v>15109</v>
      </c>
      <c r="J816" s="297" t="s">
        <v>12830</v>
      </c>
      <c r="K816" s="298" t="s">
        <v>15855</v>
      </c>
      <c r="L816" s="298" t="s">
        <v>15855</v>
      </c>
      <c r="M816" s="298" t="s">
        <v>15855</v>
      </c>
      <c r="N816" s="298" t="s">
        <v>15855</v>
      </c>
      <c r="O816" s="298" t="s">
        <v>15855</v>
      </c>
      <c r="P816" s="299" t="s">
        <v>15857</v>
      </c>
      <c r="Q816" s="300" t="s">
        <v>15855</v>
      </c>
      <c r="R816" s="182" t="str">
        <f ca="1">IF(ISERROR($V816),"",OFFSET('Smelter Look-up'!$C$4,$V816-4,0)&amp;"")</f>
        <v/>
      </c>
      <c r="S816" s="181" t="str">
        <f t="shared" ca="1" si="113"/>
        <v>ID</v>
      </c>
      <c r="T816" s="181" t="str">
        <f ca="1">IF(B816="","",IF(ISERROR(MATCH($J816,SorP!$B$1:$B$6226,0)),"",INDIRECT("'SorP'!$A$"&amp;MATCH($S816&amp;$J816,SorP!C:C,0))))</f>
        <v>ID-BB</v>
      </c>
      <c r="U816" s="201"/>
      <c r="V816" s="226" t="e">
        <f>IF(C816="",NA(),IF(OR(C816="Smelter not listed",C816="Smelter not yet identified"),MATCH($B816&amp;$D816,'Smelter Look-up'!$J:$J,0),MATCH($B816&amp;$C816,'Smelter Look-up'!$J:$J,0)))</f>
        <v>#N/A</v>
      </c>
      <c r="X816" s="227">
        <f t="shared" si="114"/>
        <v>0</v>
      </c>
      <c r="AB816" s="228" t="str">
        <f t="shared" si="115"/>
        <v>TinCV United Smelting</v>
      </c>
    </row>
    <row r="817" spans="1:28" s="227" customFormat="1" ht="40.5">
      <c r="A817" s="301" t="s">
        <v>16565</v>
      </c>
      <c r="B817" s="293" t="s">
        <v>1120</v>
      </c>
      <c r="C817" s="294" t="s">
        <v>16566</v>
      </c>
      <c r="D817" s="295" t="s">
        <v>16566</v>
      </c>
      <c r="E817" s="293" t="s">
        <v>1095</v>
      </c>
      <c r="F817" s="293" t="s">
        <v>16565</v>
      </c>
      <c r="G817" s="293" t="s">
        <v>13217</v>
      </c>
      <c r="H817" s="302" t="s">
        <v>15880</v>
      </c>
      <c r="I817" s="297" t="s">
        <v>15109</v>
      </c>
      <c r="J817" s="297" t="s">
        <v>12830</v>
      </c>
      <c r="K817" s="298" t="s">
        <v>16567</v>
      </c>
      <c r="L817" s="298" t="s">
        <v>16568</v>
      </c>
      <c r="M817" s="298" t="s">
        <v>16345</v>
      </c>
      <c r="N817" s="298" t="s">
        <v>16540</v>
      </c>
      <c r="O817" s="298" t="s">
        <v>16540</v>
      </c>
      <c r="P817" s="299" t="s">
        <v>15857</v>
      </c>
      <c r="Q817" s="300" t="s">
        <v>16569</v>
      </c>
      <c r="R817" s="182" t="str">
        <f ca="1">IF(ISERROR($V817),"",OFFSET('Smelter Look-up'!$C$4,$V817-4,0)&amp;"")</f>
        <v/>
      </c>
      <c r="S817" s="181" t="str">
        <f t="shared" ca="1" si="113"/>
        <v>ID</v>
      </c>
      <c r="T817" s="181" t="str">
        <f ca="1">IF(B817="","",IF(ISERROR(MATCH($J817,SorP!$B$1:$B$6226,0)),"",INDIRECT("'SorP'!$A$"&amp;MATCH($S817&amp;$J817,SorP!C:C,0))))</f>
        <v>ID-BB</v>
      </c>
      <c r="U817" s="201"/>
      <c r="V817" s="226" t="e">
        <f>IF(C817="",NA(),IF(OR(C817="Smelter not listed",C817="Smelter not yet identified"),MATCH($B817&amp;$D817,'Smelter Look-up'!$J:$J,0),MATCH($B817&amp;$C817,'Smelter Look-up'!$J:$J,0)))</f>
        <v>#N/A</v>
      </c>
      <c r="X817" s="227">
        <f t="shared" si="114"/>
        <v>0</v>
      </c>
      <c r="AB817" s="228" t="str">
        <f t="shared" si="115"/>
        <v>TinCV United Smelting</v>
      </c>
    </row>
    <row r="818" spans="1:28" s="227" customFormat="1" ht="54">
      <c r="A818" s="301" t="s">
        <v>15065</v>
      </c>
      <c r="B818" s="293" t="s">
        <v>1120</v>
      </c>
      <c r="C818" s="294" t="s">
        <v>15064</v>
      </c>
      <c r="D818" s="295" t="s">
        <v>15064</v>
      </c>
      <c r="E818" s="293" t="s">
        <v>1095</v>
      </c>
      <c r="F818" s="293" t="s">
        <v>15065</v>
      </c>
      <c r="G818" s="293" t="s">
        <v>13217</v>
      </c>
      <c r="H818" s="296" t="s">
        <v>15855</v>
      </c>
      <c r="I818" s="297" t="s">
        <v>15109</v>
      </c>
      <c r="J818" s="297" t="s">
        <v>12830</v>
      </c>
      <c r="K818" s="298" t="s">
        <v>15855</v>
      </c>
      <c r="L818" s="298" t="s">
        <v>15855</v>
      </c>
      <c r="M818" s="298" t="s">
        <v>15855</v>
      </c>
      <c r="N818" s="298" t="s">
        <v>15855</v>
      </c>
      <c r="O818" s="298" t="s">
        <v>15855</v>
      </c>
      <c r="P818" s="299" t="s">
        <v>15857</v>
      </c>
      <c r="Q818" s="300" t="s">
        <v>15855</v>
      </c>
      <c r="R818" s="182" t="str">
        <f ca="1">IF(ISERROR($V818),"",OFFSET('Smelter Look-up'!$C$4,$V818-4,0)&amp;"")</f>
        <v>CV Venus Inti Perkasa</v>
      </c>
      <c r="S818" s="181" t="str">
        <f t="shared" ca="1" si="113"/>
        <v>ID</v>
      </c>
      <c r="T818" s="181" t="str">
        <f ca="1">IF(B818="","",IF(ISERROR(MATCH($J818,SorP!$B$1:$B$6226,0)),"",INDIRECT("'SorP'!$A$"&amp;MATCH($S818&amp;$J818,SorP!C:C,0))))</f>
        <v>ID-BB</v>
      </c>
      <c r="U818" s="201"/>
      <c r="V818" s="226">
        <f>IF(C818="",NA(),IF(OR(C818="Smelter not listed",C818="Smelter not yet identified"),MATCH($B818&amp;$D818,'Smelter Look-up'!$J:$J,0),MATCH($B818&amp;$C818,'Smelter Look-up'!$J:$J,0)))</f>
        <v>427</v>
      </c>
      <c r="X818" s="227">
        <f t="shared" si="114"/>
        <v>0</v>
      </c>
      <c r="AB818" s="228" t="str">
        <f t="shared" si="115"/>
        <v>TinCV Venus Inti Perkasa</v>
      </c>
    </row>
    <row r="819" spans="1:28" s="227" customFormat="1" ht="54">
      <c r="A819" s="301" t="s">
        <v>15065</v>
      </c>
      <c r="B819" s="293" t="s">
        <v>1120</v>
      </c>
      <c r="C819" s="294" t="s">
        <v>15064</v>
      </c>
      <c r="D819" s="295" t="s">
        <v>15064</v>
      </c>
      <c r="E819" s="293" t="s">
        <v>1095</v>
      </c>
      <c r="F819" s="293" t="s">
        <v>15065</v>
      </c>
      <c r="G819" s="293" t="s">
        <v>13217</v>
      </c>
      <c r="H819" s="296" t="s">
        <v>15855</v>
      </c>
      <c r="I819" s="297" t="s">
        <v>15109</v>
      </c>
      <c r="J819" s="297" t="s">
        <v>12830</v>
      </c>
      <c r="K819" s="298" t="s">
        <v>15855</v>
      </c>
      <c r="L819" s="298" t="s">
        <v>15855</v>
      </c>
      <c r="M819" s="298" t="s">
        <v>15855</v>
      </c>
      <c r="N819" s="298" t="s">
        <v>15855</v>
      </c>
      <c r="O819" s="298" t="s">
        <v>15855</v>
      </c>
      <c r="P819" s="299" t="s">
        <v>15857</v>
      </c>
      <c r="Q819" s="300" t="s">
        <v>16531</v>
      </c>
      <c r="R819" s="182" t="str">
        <f ca="1">IF(ISERROR($V819),"",OFFSET('Smelter Look-up'!$C$4,$V819-4,0)&amp;"")</f>
        <v>CV Venus Inti Perkasa</v>
      </c>
      <c r="S819" s="181" t="str">
        <f t="shared" ca="1" si="113"/>
        <v>ID</v>
      </c>
      <c r="T819" s="181" t="str">
        <f ca="1">IF(B819="","",IF(ISERROR(MATCH($J819,SorP!$B$1:$B$6226,0)),"",INDIRECT("'SorP'!$A$"&amp;MATCH($S819&amp;$J819,SorP!C:C,0))))</f>
        <v>ID-BB</v>
      </c>
      <c r="U819" s="201"/>
      <c r="V819" s="226">
        <f>IF(C819="",NA(),IF(OR(C819="Smelter not listed",C819="Smelter not yet identified"),MATCH($B819&amp;$D819,'Smelter Look-up'!$J:$J,0),MATCH($B819&amp;$C819,'Smelter Look-up'!$J:$J,0)))</f>
        <v>427</v>
      </c>
      <c r="X819" s="227">
        <f t="shared" si="114"/>
        <v>0</v>
      </c>
      <c r="AB819" s="228" t="str">
        <f t="shared" si="115"/>
        <v>TinCV Venus Inti Perkasa</v>
      </c>
    </row>
    <row r="820" spans="1:28" s="227" customFormat="1" ht="54">
      <c r="A820" s="301" t="s">
        <v>15065</v>
      </c>
      <c r="B820" s="293" t="s">
        <v>1120</v>
      </c>
      <c r="C820" s="294" t="s">
        <v>15064</v>
      </c>
      <c r="D820" s="295" t="s">
        <v>15064</v>
      </c>
      <c r="E820" s="293" t="s">
        <v>1095</v>
      </c>
      <c r="F820" s="293" t="s">
        <v>15065</v>
      </c>
      <c r="G820" s="293" t="s">
        <v>13217</v>
      </c>
      <c r="H820" s="296" t="s">
        <v>15855</v>
      </c>
      <c r="I820" s="297" t="s">
        <v>15109</v>
      </c>
      <c r="J820" s="297" t="s">
        <v>12830</v>
      </c>
      <c r="K820" s="298" t="s">
        <v>15855</v>
      </c>
      <c r="L820" s="298" t="s">
        <v>15855</v>
      </c>
      <c r="M820" s="298" t="s">
        <v>15855</v>
      </c>
      <c r="N820" s="298" t="s">
        <v>15855</v>
      </c>
      <c r="O820" s="298" t="s">
        <v>15858</v>
      </c>
      <c r="P820" s="299" t="s">
        <v>15857</v>
      </c>
      <c r="Q820" s="300" t="s">
        <v>15855</v>
      </c>
      <c r="R820" s="182" t="str">
        <f ca="1">IF(ISERROR($V820),"",OFFSET('Smelter Look-up'!$C$4,$V820-4,0)&amp;"")</f>
        <v>CV Venus Inti Perkasa</v>
      </c>
      <c r="S820" s="181" t="str">
        <f t="shared" ca="1" si="113"/>
        <v>ID</v>
      </c>
      <c r="T820" s="181" t="str">
        <f ca="1">IF(B820="","",IF(ISERROR(MATCH($J820,SorP!$B$1:$B$6226,0)),"",INDIRECT("'SorP'!$A$"&amp;MATCH($S820&amp;$J820,SorP!C:C,0))))</f>
        <v>ID-BB</v>
      </c>
      <c r="U820" s="201"/>
      <c r="V820" s="226">
        <f>IF(C820="",NA(),IF(OR(C820="Smelter not listed",C820="Smelter not yet identified"),MATCH($B820&amp;$D820,'Smelter Look-up'!$J:$J,0),MATCH($B820&amp;$C820,'Smelter Look-up'!$J:$J,0)))</f>
        <v>427</v>
      </c>
      <c r="X820" s="227">
        <f t="shared" si="114"/>
        <v>0</v>
      </c>
      <c r="AB820" s="228" t="str">
        <f t="shared" si="115"/>
        <v>TinCV Venus Inti Perkasa</v>
      </c>
    </row>
    <row r="821" spans="1:28" s="227" customFormat="1" ht="54">
      <c r="A821" s="301" t="s">
        <v>15065</v>
      </c>
      <c r="B821" s="293" t="s">
        <v>1120</v>
      </c>
      <c r="C821" s="294" t="s">
        <v>15064</v>
      </c>
      <c r="D821" s="295" t="s">
        <v>15064</v>
      </c>
      <c r="E821" s="293" t="s">
        <v>1095</v>
      </c>
      <c r="F821" s="293" t="s">
        <v>15065</v>
      </c>
      <c r="G821" s="293" t="s">
        <v>13217</v>
      </c>
      <c r="H821" s="302" t="s">
        <v>15880</v>
      </c>
      <c r="I821" s="297" t="s">
        <v>15109</v>
      </c>
      <c r="J821" s="297" t="s">
        <v>12830</v>
      </c>
      <c r="K821" s="298" t="s">
        <v>15855</v>
      </c>
      <c r="L821" s="298" t="s">
        <v>15855</v>
      </c>
      <c r="M821" s="298" t="s">
        <v>15855</v>
      </c>
      <c r="N821" s="298" t="s">
        <v>15855</v>
      </c>
      <c r="O821" s="298" t="s">
        <v>15855</v>
      </c>
      <c r="P821" s="299" t="s">
        <v>15857</v>
      </c>
      <c r="Q821" s="300" t="s">
        <v>15855</v>
      </c>
      <c r="R821" s="182" t="str">
        <f ca="1">IF(ISERROR($V821),"",OFFSET('Smelter Look-up'!$C$4,$V821-4,0)&amp;"")</f>
        <v>CV Venus Inti Perkasa</v>
      </c>
      <c r="S821" s="181" t="str">
        <f t="shared" ca="1" si="113"/>
        <v>ID</v>
      </c>
      <c r="T821" s="181" t="str">
        <f ca="1">IF(B821="","",IF(ISERROR(MATCH($J821,SorP!$B$1:$B$6226,0)),"",INDIRECT("'SorP'!$A$"&amp;MATCH($S821&amp;$J821,SorP!C:C,0))))</f>
        <v>ID-BB</v>
      </c>
      <c r="U821" s="201"/>
      <c r="V821" s="226">
        <f>IF(C821="",NA(),IF(OR(C821="Smelter not listed",C821="Smelter not yet identified"),MATCH($B821&amp;$D821,'Smelter Look-up'!$J:$J,0),MATCH($B821&amp;$C821,'Smelter Look-up'!$J:$J,0)))</f>
        <v>427</v>
      </c>
      <c r="X821" s="227">
        <f t="shared" si="114"/>
        <v>0</v>
      </c>
      <c r="AB821" s="228" t="str">
        <f t="shared" si="115"/>
        <v>TinCV Venus Inti Perkasa</v>
      </c>
    </row>
    <row r="822" spans="1:28" s="227" customFormat="1" ht="108">
      <c r="A822" s="301" t="s">
        <v>13775</v>
      </c>
      <c r="B822" s="293" t="s">
        <v>1120</v>
      </c>
      <c r="C822" s="294" t="s">
        <v>13774</v>
      </c>
      <c r="D822" s="295" t="s">
        <v>13774</v>
      </c>
      <c r="E822" s="293" t="s">
        <v>1090</v>
      </c>
      <c r="F822" s="293" t="s">
        <v>13775</v>
      </c>
      <c r="G822" s="293" t="s">
        <v>13217</v>
      </c>
      <c r="H822" s="296" t="s">
        <v>15855</v>
      </c>
      <c r="I822" s="297" t="s">
        <v>13802</v>
      </c>
      <c r="J822" s="297" t="s">
        <v>13601</v>
      </c>
      <c r="K822" s="298" t="s">
        <v>15855</v>
      </c>
      <c r="L822" s="298" t="s">
        <v>15855</v>
      </c>
      <c r="M822" s="298" t="s">
        <v>15855</v>
      </c>
      <c r="N822" s="298" t="s">
        <v>15855</v>
      </c>
      <c r="O822" s="298" t="s">
        <v>15858</v>
      </c>
      <c r="P822" s="299" t="s">
        <v>15857</v>
      </c>
      <c r="Q822" s="300" t="s">
        <v>15855</v>
      </c>
      <c r="R822" s="182" t="str">
        <f ca="1">IF(ISERROR($V822),"",OFFSET('Smelter Look-up'!$C$4,$V822-4,0)&amp;"")</f>
        <v>Dongguan CiEXPO Environmental Engineering Co., Ltd.</v>
      </c>
      <c r="S822" s="181" t="str">
        <f t="shared" ca="1" si="113"/>
        <v>CN</v>
      </c>
      <c r="T822" s="181" t="str">
        <f ca="1">IF(B822="","",IF(ISERROR(MATCH($J822,SorP!$B$1:$B$6226,0)),"",INDIRECT("'SorP'!$A$"&amp;MATCH($S822&amp;$J822,SorP!C:C,0))))</f>
        <v>CN-GD</v>
      </c>
      <c r="U822" s="201"/>
      <c r="V822" s="226">
        <f>IF(C822="",NA(),IF(OR(C822="Smelter not listed",C822="Smelter not yet identified"),MATCH($B822&amp;$D822,'Smelter Look-up'!$J:$J,0),MATCH($B822&amp;$C822,'Smelter Look-up'!$J:$J,0)))</f>
        <v>428</v>
      </c>
      <c r="X822" s="227">
        <f t="shared" si="114"/>
        <v>0</v>
      </c>
      <c r="AB822" s="228" t="str">
        <f t="shared" si="115"/>
        <v>TinDongguan CiEXPO Environmental Engineering Co., Ltd.</v>
      </c>
    </row>
    <row r="823" spans="1:28" s="227" customFormat="1" ht="20">
      <c r="A823" s="301" t="s">
        <v>1398</v>
      </c>
      <c r="B823" s="293" t="s">
        <v>1120</v>
      </c>
      <c r="C823" s="294" t="s">
        <v>896</v>
      </c>
      <c r="D823" s="295" t="s">
        <v>896</v>
      </c>
      <c r="E823" s="293" t="s">
        <v>1098</v>
      </c>
      <c r="F823" s="293" t="s">
        <v>1398</v>
      </c>
      <c r="G823" s="293" t="s">
        <v>13217</v>
      </c>
      <c r="H823" s="296" t="s">
        <v>15855</v>
      </c>
      <c r="I823" s="297" t="s">
        <v>1567</v>
      </c>
      <c r="J823" s="297" t="s">
        <v>1568</v>
      </c>
      <c r="K823" s="298" t="s">
        <v>15855</v>
      </c>
      <c r="L823" s="298" t="s">
        <v>15855</v>
      </c>
      <c r="M823" s="298" t="s">
        <v>15855</v>
      </c>
      <c r="N823" s="298" t="s">
        <v>15855</v>
      </c>
      <c r="O823" s="298" t="s">
        <v>15855</v>
      </c>
      <c r="P823" s="299" t="s">
        <v>15857</v>
      </c>
      <c r="Q823" s="300" t="s">
        <v>15855</v>
      </c>
      <c r="R823" s="182" t="str">
        <f ca="1">IF(ISERROR($V823),"",OFFSET('Smelter Look-up'!$C$4,$V823-4,0)&amp;"")</f>
        <v>Dowa</v>
      </c>
      <c r="S823" s="181" t="str">
        <f t="shared" ca="1" si="113"/>
        <v>JP</v>
      </c>
      <c r="T823" s="181" t="str">
        <f ca="1">IF(B823="","",IF(ISERROR(MATCH($J823,SorP!$B$1:$B$6226,0)),"",INDIRECT("'SorP'!$A$"&amp;MATCH($S823&amp;$J823,SorP!C:C,0))))</f>
        <v>JP-05</v>
      </c>
      <c r="U823" s="201"/>
      <c r="V823" s="226">
        <f>IF(C823="",NA(),IF(OR(C823="Smelter not listed",C823="Smelter not yet identified"),MATCH($B823&amp;$D823,'Smelter Look-up'!$J:$J,0),MATCH($B823&amp;$C823,'Smelter Look-up'!$J:$J,0)))</f>
        <v>429</v>
      </c>
      <c r="X823" s="227">
        <f t="shared" si="114"/>
        <v>0</v>
      </c>
      <c r="AB823" s="228" t="str">
        <f t="shared" si="115"/>
        <v>TinDowa</v>
      </c>
    </row>
    <row r="824" spans="1:28" s="227" customFormat="1" ht="20">
      <c r="A824" s="301" t="s">
        <v>1398</v>
      </c>
      <c r="B824" s="293" t="s">
        <v>1120</v>
      </c>
      <c r="C824" s="294" t="s">
        <v>896</v>
      </c>
      <c r="D824" s="295" t="s">
        <v>896</v>
      </c>
      <c r="E824" s="293" t="s">
        <v>1098</v>
      </c>
      <c r="F824" s="293" t="s">
        <v>1398</v>
      </c>
      <c r="G824" s="293" t="s">
        <v>13217</v>
      </c>
      <c r="H824" s="296" t="s">
        <v>15855</v>
      </c>
      <c r="I824" s="297" t="s">
        <v>1567</v>
      </c>
      <c r="J824" s="297" t="s">
        <v>1568</v>
      </c>
      <c r="K824" s="298" t="s">
        <v>15855</v>
      </c>
      <c r="L824" s="298" t="s">
        <v>15855</v>
      </c>
      <c r="M824" s="298" t="s">
        <v>15855</v>
      </c>
      <c r="N824" s="298" t="s">
        <v>15855</v>
      </c>
      <c r="O824" s="298" t="s">
        <v>15855</v>
      </c>
      <c r="P824" s="299" t="s">
        <v>15875</v>
      </c>
      <c r="Q824" s="300" t="s">
        <v>15855</v>
      </c>
      <c r="R824" s="182" t="str">
        <f ca="1">IF(ISERROR($V824),"",OFFSET('Smelter Look-up'!$C$4,$V824-4,0)&amp;"")</f>
        <v>Dowa</v>
      </c>
      <c r="S824" s="181" t="str">
        <f t="shared" ca="1" si="113"/>
        <v>JP</v>
      </c>
      <c r="T824" s="181" t="str">
        <f ca="1">IF(B824="","",IF(ISERROR(MATCH($J824,SorP!$B$1:$B$6226,0)),"",INDIRECT("'SorP'!$A$"&amp;MATCH($S824&amp;$J824,SorP!C:C,0))))</f>
        <v>JP-05</v>
      </c>
      <c r="U824" s="201"/>
      <c r="V824" s="226">
        <f>IF(C824="",NA(),IF(OR(C824="Smelter not listed",C824="Smelter not yet identified"),MATCH($B824&amp;$D824,'Smelter Look-up'!$J:$J,0),MATCH($B824&amp;$C824,'Smelter Look-up'!$J:$J,0)))</f>
        <v>429</v>
      </c>
      <c r="X824" s="227">
        <f t="shared" si="114"/>
        <v>0</v>
      </c>
      <c r="AB824" s="228" t="str">
        <f t="shared" si="115"/>
        <v>TinDowa</v>
      </c>
    </row>
    <row r="825" spans="1:28" s="227" customFormat="1" ht="20">
      <c r="A825" s="301" t="s">
        <v>1398</v>
      </c>
      <c r="B825" s="293" t="s">
        <v>1120</v>
      </c>
      <c r="C825" s="294" t="s">
        <v>896</v>
      </c>
      <c r="D825" s="295" t="s">
        <v>896</v>
      </c>
      <c r="E825" s="293" t="s">
        <v>1098</v>
      </c>
      <c r="F825" s="293" t="s">
        <v>1398</v>
      </c>
      <c r="G825" s="293" t="s">
        <v>13217</v>
      </c>
      <c r="H825" s="296" t="s">
        <v>15855</v>
      </c>
      <c r="I825" s="297" t="s">
        <v>1567</v>
      </c>
      <c r="J825" s="297" t="s">
        <v>1568</v>
      </c>
      <c r="K825" s="298" t="s">
        <v>15855</v>
      </c>
      <c r="L825" s="298" t="s">
        <v>15855</v>
      </c>
      <c r="M825" s="298" t="s">
        <v>15855</v>
      </c>
      <c r="N825" s="298" t="s">
        <v>15855</v>
      </c>
      <c r="O825" s="298" t="s">
        <v>15925</v>
      </c>
      <c r="P825" s="299" t="s">
        <v>15857</v>
      </c>
      <c r="Q825" s="300" t="s">
        <v>15855</v>
      </c>
      <c r="R825" s="182" t="str">
        <f ca="1">IF(ISERROR($V825),"",OFFSET('Smelter Look-up'!$C$4,$V825-4,0)&amp;"")</f>
        <v>Dowa</v>
      </c>
      <c r="S825" s="181" t="str">
        <f t="shared" ca="1" si="113"/>
        <v>JP</v>
      </c>
      <c r="T825" s="181" t="str">
        <f ca="1">IF(B825="","",IF(ISERROR(MATCH($J825,SorP!$B$1:$B$6226,0)),"",INDIRECT("'SorP'!$A$"&amp;MATCH($S825&amp;$J825,SorP!C:C,0))))</f>
        <v>JP-05</v>
      </c>
      <c r="U825" s="201"/>
      <c r="V825" s="226">
        <f>IF(C825="",NA(),IF(OR(C825="Smelter not listed",C825="Smelter not yet identified"),MATCH($B825&amp;$D825,'Smelter Look-up'!$J:$J,0),MATCH($B825&amp;$C825,'Smelter Look-up'!$J:$J,0)))</f>
        <v>429</v>
      </c>
      <c r="X825" s="227">
        <f t="shared" si="114"/>
        <v>0</v>
      </c>
      <c r="AB825" s="228" t="str">
        <f t="shared" si="115"/>
        <v>TinDowa</v>
      </c>
    </row>
    <row r="826" spans="1:28" s="227" customFormat="1" ht="20">
      <c r="A826" s="301" t="s">
        <v>1398</v>
      </c>
      <c r="B826" s="293" t="s">
        <v>1120</v>
      </c>
      <c r="C826" s="294" t="s">
        <v>896</v>
      </c>
      <c r="D826" s="295" t="s">
        <v>896</v>
      </c>
      <c r="E826" s="293" t="s">
        <v>1098</v>
      </c>
      <c r="F826" s="293" t="s">
        <v>1398</v>
      </c>
      <c r="G826" s="293" t="s">
        <v>13217</v>
      </c>
      <c r="H826" s="296" t="s">
        <v>15855</v>
      </c>
      <c r="I826" s="297" t="s">
        <v>1567</v>
      </c>
      <c r="J826" s="297" t="s">
        <v>1568</v>
      </c>
      <c r="K826" s="298" t="s">
        <v>15855</v>
      </c>
      <c r="L826" s="298" t="s">
        <v>15855</v>
      </c>
      <c r="M826" s="298" t="s">
        <v>16570</v>
      </c>
      <c r="N826" s="298" t="s">
        <v>15855</v>
      </c>
      <c r="O826" s="298" t="s">
        <v>16017</v>
      </c>
      <c r="P826" s="299" t="s">
        <v>15857</v>
      </c>
      <c r="Q826" s="300" t="s">
        <v>484</v>
      </c>
      <c r="R826" s="182" t="str">
        <f ca="1">IF(ISERROR($V826),"",OFFSET('Smelter Look-up'!$C$4,$V826-4,0)&amp;"")</f>
        <v>Dowa</v>
      </c>
      <c r="S826" s="181" t="str">
        <f t="shared" ca="1" si="113"/>
        <v>JP</v>
      </c>
      <c r="T826" s="181" t="str">
        <f ca="1">IF(B826="","",IF(ISERROR(MATCH($J826,SorP!$B$1:$B$6226,0)),"",INDIRECT("'SorP'!$A$"&amp;MATCH($S826&amp;$J826,SorP!C:C,0))))</f>
        <v>JP-05</v>
      </c>
      <c r="U826" s="201"/>
      <c r="V826" s="226">
        <f>IF(C826="",NA(),IF(OR(C826="Smelter not listed",C826="Smelter not yet identified"),MATCH($B826&amp;$D826,'Smelter Look-up'!$J:$J,0),MATCH($B826&amp;$C826,'Smelter Look-up'!$J:$J,0)))</f>
        <v>429</v>
      </c>
      <c r="X826" s="227">
        <f t="shared" si="114"/>
        <v>0</v>
      </c>
      <c r="AB826" s="228" t="str">
        <f t="shared" si="115"/>
        <v>TinDowa</v>
      </c>
    </row>
    <row r="827" spans="1:28" s="227" customFormat="1" ht="27">
      <c r="A827" s="301" t="s">
        <v>1398</v>
      </c>
      <c r="B827" s="293" t="s">
        <v>1120</v>
      </c>
      <c r="C827" s="294" t="s">
        <v>896</v>
      </c>
      <c r="D827" s="295" t="s">
        <v>896</v>
      </c>
      <c r="E827" s="293" t="s">
        <v>1098</v>
      </c>
      <c r="F827" s="293" t="s">
        <v>1398</v>
      </c>
      <c r="G827" s="293" t="s">
        <v>13217</v>
      </c>
      <c r="H827" s="296" t="s">
        <v>15855</v>
      </c>
      <c r="I827" s="297" t="s">
        <v>1567</v>
      </c>
      <c r="J827" s="297" t="s">
        <v>1568</v>
      </c>
      <c r="K827" s="298" t="s">
        <v>15963</v>
      </c>
      <c r="L827" s="298" t="s">
        <v>15964</v>
      </c>
      <c r="M827" s="298" t="s">
        <v>16571</v>
      </c>
      <c r="N827" s="298" t="s">
        <v>15876</v>
      </c>
      <c r="O827" s="298" t="s">
        <v>15879</v>
      </c>
      <c r="P827" s="299" t="s">
        <v>15875</v>
      </c>
      <c r="Q827" s="300" t="s">
        <v>15855</v>
      </c>
      <c r="R827" s="182" t="str">
        <f ca="1">IF(ISERROR($V827),"",OFFSET('Smelter Look-up'!$C$4,$V827-4,0)&amp;"")</f>
        <v>Dowa</v>
      </c>
      <c r="S827" s="181" t="str">
        <f t="shared" ref="S827" ca="1" si="116">IF(B827="","",IF(ISERROR(MATCH($E827,CL,0)),"Unknown",INDIRECT("'C'!$A$"&amp;MATCH($E827,CL,0)+1)))</f>
        <v>JP</v>
      </c>
      <c r="T827" s="181" t="str">
        <f ca="1">IF(B827="","",IF(ISERROR(MATCH($J827,SorP!$B$1:$B$6226,0)),"",INDIRECT("'SorP'!$A$"&amp;MATCH($S827&amp;$J827,SorP!C:C,0))))</f>
        <v>JP-05</v>
      </c>
      <c r="U827" s="201"/>
      <c r="V827" s="226">
        <f>IF(C827="",NA(),IF(OR(C827="Smelter not listed",C827="Smelter not yet identified"),MATCH($B827&amp;$D827,'Smelter Look-up'!$J:$J,0),MATCH($B827&amp;$C827,'Smelter Look-up'!$J:$J,0)))</f>
        <v>429</v>
      </c>
      <c r="X827" s="227">
        <f t="shared" ref="X827" si="117">IF(AND(C827="Smelter not listed",OR(LEN(D827)=0,LEN(E827)=0)),1,0)</f>
        <v>0</v>
      </c>
      <c r="AB827" s="228" t="str">
        <f t="shared" ref="AB827" si="118">B827&amp;C827</f>
        <v>TinDowa</v>
      </c>
    </row>
    <row r="828" spans="1:28" s="227" customFormat="1" ht="20">
      <c r="A828" s="301" t="s">
        <v>1398</v>
      </c>
      <c r="B828" s="293" t="s">
        <v>1120</v>
      </c>
      <c r="C828" s="294" t="s">
        <v>896</v>
      </c>
      <c r="D828" s="295" t="s">
        <v>896</v>
      </c>
      <c r="E828" s="293" t="s">
        <v>1098</v>
      </c>
      <c r="F828" s="293" t="s">
        <v>1398</v>
      </c>
      <c r="G828" s="293" t="s">
        <v>13217</v>
      </c>
      <c r="H828" s="302" t="s">
        <v>15880</v>
      </c>
      <c r="I828" s="297" t="s">
        <v>1567</v>
      </c>
      <c r="J828" s="297" t="s">
        <v>1568</v>
      </c>
      <c r="K828" s="298" t="s">
        <v>15855</v>
      </c>
      <c r="L828" s="298" t="s">
        <v>15855</v>
      </c>
      <c r="M828" s="298" t="s">
        <v>15855</v>
      </c>
      <c r="N828" s="298" t="s">
        <v>15855</v>
      </c>
      <c r="O828" s="298" t="s">
        <v>15855</v>
      </c>
      <c r="P828" s="299" t="s">
        <v>15857</v>
      </c>
      <c r="Q828" s="300" t="s">
        <v>15855</v>
      </c>
      <c r="R828" s="182" t="str">
        <f ca="1">IF(ISERROR($V828),"",OFFSET('Smelter Look-up'!$C$4,$V828-4,0)&amp;"")</f>
        <v>Dowa</v>
      </c>
      <c r="S828" s="181" t="str">
        <f t="shared" ref="S828:S859" ca="1" si="119">IF(B828="","",IF(ISERROR(MATCH($E828,CL,0)),"Unknown",INDIRECT("'C'!$A$"&amp;MATCH($E828,CL,0)+1)))</f>
        <v>JP</v>
      </c>
      <c r="T828" s="181" t="str">
        <f ca="1">IF(B828="","",IF(ISERROR(MATCH($J828,SorP!$B$1:$B$6226,0)),"",INDIRECT("'SorP'!$A$"&amp;MATCH($S828&amp;$J828,SorP!C:C,0))))</f>
        <v>JP-05</v>
      </c>
      <c r="U828" s="201"/>
      <c r="V828" s="226">
        <f>IF(C828="",NA(),IF(OR(C828="Smelter not listed",C828="Smelter not yet identified"),MATCH($B828&amp;$D828,'Smelter Look-up'!$J:$J,0),MATCH($B828&amp;$C828,'Smelter Look-up'!$J:$J,0)))</f>
        <v>429</v>
      </c>
      <c r="X828" s="227">
        <f t="shared" ref="X828:X859" si="120">IF(AND(C828="Smelter not listed",OR(LEN(D828)=0,LEN(E828)=0)),1,0)</f>
        <v>0</v>
      </c>
      <c r="AB828" s="228" t="str">
        <f t="shared" ref="AB828:AB859" si="121">B828&amp;C828</f>
        <v>TinDowa</v>
      </c>
    </row>
    <row r="829" spans="1:28" s="227" customFormat="1" ht="27">
      <c r="A829" s="301" t="s">
        <v>1398</v>
      </c>
      <c r="B829" s="293" t="s">
        <v>1120</v>
      </c>
      <c r="C829" s="294" t="s">
        <v>896</v>
      </c>
      <c r="D829" s="295" t="s">
        <v>896</v>
      </c>
      <c r="E829" s="293" t="s">
        <v>1098</v>
      </c>
      <c r="F829" s="293" t="s">
        <v>1398</v>
      </c>
      <c r="G829" s="293" t="s">
        <v>13217</v>
      </c>
      <c r="H829" s="296" t="s">
        <v>16572</v>
      </c>
      <c r="I829" s="297" t="s">
        <v>1567</v>
      </c>
      <c r="J829" s="297" t="s">
        <v>1568</v>
      </c>
      <c r="K829" s="298" t="s">
        <v>15855</v>
      </c>
      <c r="L829" s="298" t="s">
        <v>15855</v>
      </c>
      <c r="M829" s="298" t="s">
        <v>16562</v>
      </c>
      <c r="N829" s="298" t="s">
        <v>15855</v>
      </c>
      <c r="O829" s="298" t="s">
        <v>15855</v>
      </c>
      <c r="P829" s="299" t="s">
        <v>15857</v>
      </c>
      <c r="Q829" s="300" t="s">
        <v>15855</v>
      </c>
      <c r="R829" s="182" t="str">
        <f ca="1">IF(ISERROR($V829),"",OFFSET('Smelter Look-up'!$C$4,$V829-4,0)&amp;"")</f>
        <v>Dowa</v>
      </c>
      <c r="S829" s="181" t="str">
        <f t="shared" ca="1" si="119"/>
        <v>JP</v>
      </c>
      <c r="T829" s="181" t="str">
        <f ca="1">IF(B829="","",IF(ISERROR(MATCH($J829,SorP!$B$1:$B$6226,0)),"",INDIRECT("'SorP'!$A$"&amp;MATCH($S829&amp;$J829,SorP!C:C,0))))</f>
        <v>JP-05</v>
      </c>
      <c r="U829" s="201"/>
      <c r="V829" s="226">
        <f>IF(C829="",NA(),IF(OR(C829="Smelter not listed",C829="Smelter not yet identified"),MATCH($B829&amp;$D829,'Smelter Look-up'!$J:$J,0),MATCH($B829&amp;$C829,'Smelter Look-up'!$J:$J,0)))</f>
        <v>429</v>
      </c>
      <c r="X829" s="227">
        <f t="shared" si="120"/>
        <v>0</v>
      </c>
      <c r="AB829" s="228" t="str">
        <f t="shared" si="121"/>
        <v>TinDowa</v>
      </c>
    </row>
    <row r="830" spans="1:28" s="227" customFormat="1" ht="202.5">
      <c r="A830" s="301" t="s">
        <v>1792</v>
      </c>
      <c r="B830" s="293" t="s">
        <v>1120</v>
      </c>
      <c r="C830" s="294" t="s">
        <v>1791</v>
      </c>
      <c r="D830" s="295" t="s">
        <v>1791</v>
      </c>
      <c r="E830" s="293" t="s">
        <v>882</v>
      </c>
      <c r="F830" s="293" t="s">
        <v>1792</v>
      </c>
      <c r="G830" s="293" t="s">
        <v>13217</v>
      </c>
      <c r="H830" s="296" t="s">
        <v>15855</v>
      </c>
      <c r="I830" s="297" t="s">
        <v>1793</v>
      </c>
      <c r="J830" s="297" t="s">
        <v>12156</v>
      </c>
      <c r="K830" s="298" t="s">
        <v>15855</v>
      </c>
      <c r="L830" s="298" t="s">
        <v>15855</v>
      </c>
      <c r="M830" s="298" t="s">
        <v>15855</v>
      </c>
      <c r="N830" s="298" t="s">
        <v>15855</v>
      </c>
      <c r="O830" s="298" t="s">
        <v>15858</v>
      </c>
      <c r="P830" s="299" t="s">
        <v>15857</v>
      </c>
      <c r="Q830" s="300" t="s">
        <v>15855</v>
      </c>
      <c r="R830" s="182" t="str">
        <f ca="1">IF(ISERROR($V830),"",OFFSET('Smelter Look-up'!$C$4,$V830-4,0)&amp;"")</f>
        <v>Electro-Mechanical Facility of the Cao Bang Minerals &amp; Metallurgy Joint Stock Company</v>
      </c>
      <c r="S830" s="181" t="str">
        <f t="shared" ca="1" si="119"/>
        <v>VN</v>
      </c>
      <c r="T830" s="181" t="str">
        <f ca="1">IF(B830="","",IF(ISERROR(MATCH($J830,SorP!$B$1:$B$6226,0)),"",INDIRECT("'SorP'!$A$"&amp;MATCH($S830&amp;$J830,SorP!C:C,0))))</f>
        <v>VN-04</v>
      </c>
      <c r="U830" s="201"/>
      <c r="V830" s="226">
        <f>IF(C830="",NA(),IF(OR(C830="Smelter not listed",C830="Smelter not yet identified"),MATCH($B830&amp;$D830,'Smelter Look-up'!$J:$J,0),MATCH($B830&amp;$C830,'Smelter Look-up'!$J:$J,0)))</f>
        <v>432</v>
      </c>
      <c r="X830" s="227">
        <f t="shared" si="120"/>
        <v>0</v>
      </c>
      <c r="AB830" s="228" t="str">
        <f t="shared" si="121"/>
        <v>TinElectro-Mechanical Facility of the Cao Bang Minerals &amp; Metallurgy Joint Stock Company</v>
      </c>
    </row>
    <row r="831" spans="1:28" s="227" customFormat="1" ht="40.5">
      <c r="A831" s="301" t="s">
        <v>1803</v>
      </c>
      <c r="B831" s="293" t="s">
        <v>1120</v>
      </c>
      <c r="C831" s="294" t="s">
        <v>15497</v>
      </c>
      <c r="D831" s="295" t="s">
        <v>16573</v>
      </c>
      <c r="E831" s="293" t="s">
        <v>1092</v>
      </c>
      <c r="F831" s="293" t="s">
        <v>1803</v>
      </c>
      <c r="G831" s="293" t="s">
        <v>13217</v>
      </c>
      <c r="H831" s="296" t="s">
        <v>15855</v>
      </c>
      <c r="I831" s="297" t="s">
        <v>1804</v>
      </c>
      <c r="J831" s="297" t="s">
        <v>12390</v>
      </c>
      <c r="K831" s="298" t="s">
        <v>15855</v>
      </c>
      <c r="L831" s="298" t="s">
        <v>15855</v>
      </c>
      <c r="M831" s="298" t="s">
        <v>15855</v>
      </c>
      <c r="N831" s="298" t="s">
        <v>15855</v>
      </c>
      <c r="O831" s="298" t="s">
        <v>15858</v>
      </c>
      <c r="P831" s="299" t="s">
        <v>15857</v>
      </c>
      <c r="Q831" s="300" t="s">
        <v>15855</v>
      </c>
      <c r="R831" s="182" t="str">
        <f ca="1">IF(ISERROR($V831),"",OFFSET('Smelter Look-up'!$C$4,$V831-4,0)&amp;"")</f>
        <v>Aurubis Berango</v>
      </c>
      <c r="S831" s="181" t="str">
        <f t="shared" ca="1" si="119"/>
        <v>ES</v>
      </c>
      <c r="T831" s="181" t="str">
        <f ca="1">IF(B831="","",IF(ISERROR(MATCH($J831,SorP!$B$1:$B$6226,0)),"",INDIRECT("'SorP'!$A$"&amp;MATCH($S831&amp;$J831,SorP!C:C,0))))</f>
        <v>ES-BI</v>
      </c>
      <c r="U831" s="201"/>
      <c r="V831" s="226">
        <f>IF(C831="",NA(),IF(OR(C831="Smelter not listed",C831="Smelter not yet identified"),MATCH($B831&amp;$D831,'Smelter Look-up'!$J:$J,0),MATCH($B831&amp;$C831,'Smelter Look-up'!$J:$J,0)))</f>
        <v>406</v>
      </c>
      <c r="X831" s="227">
        <f t="shared" si="120"/>
        <v>0</v>
      </c>
      <c r="AB831" s="228" t="str">
        <f t="shared" si="121"/>
        <v>TinAurubis Berango</v>
      </c>
    </row>
    <row r="832" spans="1:28" s="227" customFormat="1" ht="40.5">
      <c r="A832" s="301" t="s">
        <v>759</v>
      </c>
      <c r="B832" s="293" t="s">
        <v>1120</v>
      </c>
      <c r="C832" s="294" t="s">
        <v>832</v>
      </c>
      <c r="D832" s="295" t="s">
        <v>832</v>
      </c>
      <c r="E832" s="293" t="s">
        <v>2413</v>
      </c>
      <c r="F832" s="293" t="s">
        <v>759</v>
      </c>
      <c r="G832" s="293" t="s">
        <v>13217</v>
      </c>
      <c r="H832" s="296" t="s">
        <v>15855</v>
      </c>
      <c r="I832" s="297" t="s">
        <v>1755</v>
      </c>
      <c r="J832" s="297" t="s">
        <v>1755</v>
      </c>
      <c r="K832" s="298" t="s">
        <v>15855</v>
      </c>
      <c r="L832" s="298" t="s">
        <v>15855</v>
      </c>
      <c r="M832" s="298" t="s">
        <v>15855</v>
      </c>
      <c r="N832" s="298" t="s">
        <v>15855</v>
      </c>
      <c r="O832" s="298" t="s">
        <v>15855</v>
      </c>
      <c r="P832" s="299" t="s">
        <v>15857</v>
      </c>
      <c r="Q832" s="300" t="s">
        <v>15855</v>
      </c>
      <c r="R832" s="182" t="str">
        <f ca="1">IF(ISERROR($V832),"",OFFSET('Smelter Look-up'!$C$4,$V832-4,0)&amp;"")</f>
        <v>EM Vinto</v>
      </c>
      <c r="S832" s="181" t="str">
        <f t="shared" ca="1" si="119"/>
        <v>BO</v>
      </c>
      <c r="T832" s="181" t="str">
        <f ca="1">IF(B832="","",IF(ISERROR(MATCH($J832,SorP!$B$1:$B$6226,0)),"",INDIRECT("'SorP'!$A$"&amp;MATCH($S832&amp;$J832,SorP!C:C,0))))</f>
        <v>BO-O</v>
      </c>
      <c r="U832" s="201"/>
      <c r="V832" s="226">
        <f>IF(C832="",NA(),IF(OR(C832="Smelter not listed",C832="Smelter not yet identified"),MATCH($B832&amp;$D832,'Smelter Look-up'!$J:$J,0),MATCH($B832&amp;$C832,'Smelter Look-up'!$J:$J,0)))</f>
        <v>433</v>
      </c>
      <c r="X832" s="227">
        <f t="shared" si="120"/>
        <v>0</v>
      </c>
      <c r="AB832" s="228" t="str">
        <f t="shared" si="121"/>
        <v>TinEM Vinto</v>
      </c>
    </row>
    <row r="833" spans="1:28" s="227" customFormat="1" ht="40.5">
      <c r="A833" s="301" t="s">
        <v>759</v>
      </c>
      <c r="B833" s="293" t="s">
        <v>1120</v>
      </c>
      <c r="C833" s="294" t="s">
        <v>832</v>
      </c>
      <c r="D833" s="295" t="s">
        <v>832</v>
      </c>
      <c r="E833" s="293" t="s">
        <v>2413</v>
      </c>
      <c r="F833" s="293" t="s">
        <v>759</v>
      </c>
      <c r="G833" s="293" t="s">
        <v>13217</v>
      </c>
      <c r="H833" s="296" t="s">
        <v>15855</v>
      </c>
      <c r="I833" s="297" t="s">
        <v>1755</v>
      </c>
      <c r="J833" s="297" t="s">
        <v>1755</v>
      </c>
      <c r="K833" s="298" t="s">
        <v>15855</v>
      </c>
      <c r="L833" s="298" t="s">
        <v>15855</v>
      </c>
      <c r="M833" s="298" t="s">
        <v>15855</v>
      </c>
      <c r="N833" s="298" t="s">
        <v>15855</v>
      </c>
      <c r="O833" s="298" t="s">
        <v>15855</v>
      </c>
      <c r="P833" s="299" t="s">
        <v>15875</v>
      </c>
      <c r="Q833" s="300" t="s">
        <v>15855</v>
      </c>
      <c r="R833" s="182" t="str">
        <f ca="1">IF(ISERROR($V833),"",OFFSET('Smelter Look-up'!$C$4,$V833-4,0)&amp;"")</f>
        <v>EM Vinto</v>
      </c>
      <c r="S833" s="181" t="str">
        <f t="shared" ca="1" si="119"/>
        <v>BO</v>
      </c>
      <c r="T833" s="181" t="str">
        <f ca="1">IF(B833="","",IF(ISERROR(MATCH($J833,SorP!$B$1:$B$6226,0)),"",INDIRECT("'SorP'!$A$"&amp;MATCH($S833&amp;$J833,SorP!C:C,0))))</f>
        <v>BO-O</v>
      </c>
      <c r="U833" s="201"/>
      <c r="V833" s="226">
        <f>IF(C833="",NA(),IF(OR(C833="Smelter not listed",C833="Smelter not yet identified"),MATCH($B833&amp;$D833,'Smelter Look-up'!$J:$J,0),MATCH($B833&amp;$C833,'Smelter Look-up'!$J:$J,0)))</f>
        <v>433</v>
      </c>
      <c r="X833" s="227">
        <f t="shared" si="120"/>
        <v>0</v>
      </c>
      <c r="AB833" s="228" t="str">
        <f t="shared" si="121"/>
        <v>TinEM Vinto</v>
      </c>
    </row>
    <row r="834" spans="1:28" s="227" customFormat="1" ht="40.5">
      <c r="A834" s="301" t="s">
        <v>759</v>
      </c>
      <c r="B834" s="293" t="s">
        <v>1120</v>
      </c>
      <c r="C834" s="294" t="s">
        <v>832</v>
      </c>
      <c r="D834" s="295" t="s">
        <v>832</v>
      </c>
      <c r="E834" s="293" t="s">
        <v>2413</v>
      </c>
      <c r="F834" s="293" t="s">
        <v>759</v>
      </c>
      <c r="G834" s="293" t="s">
        <v>13217</v>
      </c>
      <c r="H834" s="296" t="s">
        <v>15855</v>
      </c>
      <c r="I834" s="297" t="s">
        <v>1755</v>
      </c>
      <c r="J834" s="297" t="s">
        <v>1755</v>
      </c>
      <c r="K834" s="298" t="s">
        <v>15855</v>
      </c>
      <c r="L834" s="298" t="s">
        <v>15855</v>
      </c>
      <c r="M834" s="298" t="s">
        <v>15855</v>
      </c>
      <c r="N834" s="298" t="s">
        <v>15855</v>
      </c>
      <c r="O834" s="298" t="s">
        <v>15858</v>
      </c>
      <c r="P834" s="299" t="s">
        <v>15857</v>
      </c>
      <c r="Q834" s="300" t="s">
        <v>15855</v>
      </c>
      <c r="R834" s="182" t="str">
        <f ca="1">IF(ISERROR($V834),"",OFFSET('Smelter Look-up'!$C$4,$V834-4,0)&amp;"")</f>
        <v>EM Vinto</v>
      </c>
      <c r="S834" s="181" t="str">
        <f t="shared" ca="1" si="119"/>
        <v>BO</v>
      </c>
      <c r="T834" s="181" t="str">
        <f ca="1">IF(B834="","",IF(ISERROR(MATCH($J834,SorP!$B$1:$B$6226,0)),"",INDIRECT("'SorP'!$A$"&amp;MATCH($S834&amp;$J834,SorP!C:C,0))))</f>
        <v>BO-O</v>
      </c>
      <c r="U834" s="201"/>
      <c r="V834" s="226">
        <f>IF(C834="",NA(),IF(OR(C834="Smelter not listed",C834="Smelter not yet identified"),MATCH($B834&amp;$D834,'Smelter Look-up'!$J:$J,0),MATCH($B834&amp;$C834,'Smelter Look-up'!$J:$J,0)))</f>
        <v>433</v>
      </c>
      <c r="X834" s="227">
        <f t="shared" si="120"/>
        <v>0</v>
      </c>
      <c r="AB834" s="228" t="str">
        <f t="shared" si="121"/>
        <v>TinEM Vinto</v>
      </c>
    </row>
    <row r="835" spans="1:28" s="227" customFormat="1" ht="40.5">
      <c r="A835" s="301" t="s">
        <v>759</v>
      </c>
      <c r="B835" s="293" t="s">
        <v>1120</v>
      </c>
      <c r="C835" s="294" t="s">
        <v>832</v>
      </c>
      <c r="D835" s="295" t="s">
        <v>832</v>
      </c>
      <c r="E835" s="293" t="s">
        <v>2413</v>
      </c>
      <c r="F835" s="293" t="s">
        <v>759</v>
      </c>
      <c r="G835" s="293" t="s">
        <v>13217</v>
      </c>
      <c r="H835" s="296" t="s">
        <v>15855</v>
      </c>
      <c r="I835" s="297" t="s">
        <v>1755</v>
      </c>
      <c r="J835" s="297" t="s">
        <v>1755</v>
      </c>
      <c r="K835" s="298" t="s">
        <v>16574</v>
      </c>
      <c r="L835" s="298" t="s">
        <v>16575</v>
      </c>
      <c r="M835" s="298" t="s">
        <v>15869</v>
      </c>
      <c r="N835" s="298" t="s">
        <v>15862</v>
      </c>
      <c r="O835" s="298" t="s">
        <v>16576</v>
      </c>
      <c r="P835" s="299" t="s">
        <v>15857</v>
      </c>
      <c r="Q835" s="300" t="s">
        <v>15855</v>
      </c>
      <c r="R835" s="182" t="str">
        <f ca="1">IF(ISERROR($V835),"",OFFSET('Smelter Look-up'!$C$4,$V835-4,0)&amp;"")</f>
        <v>EM Vinto</v>
      </c>
      <c r="S835" s="181" t="str">
        <f t="shared" ca="1" si="119"/>
        <v>BO</v>
      </c>
      <c r="T835" s="181" t="str">
        <f ca="1">IF(B835="","",IF(ISERROR(MATCH($J835,SorP!$B$1:$B$6226,0)),"",INDIRECT("'SorP'!$A$"&amp;MATCH($S835&amp;$J835,SorP!C:C,0))))</f>
        <v>BO-O</v>
      </c>
      <c r="U835" s="201"/>
      <c r="V835" s="226">
        <f>IF(C835="",NA(),IF(OR(C835="Smelter not listed",C835="Smelter not yet identified"),MATCH($B835&amp;$D835,'Smelter Look-up'!$J:$J,0),MATCH($B835&amp;$C835,'Smelter Look-up'!$J:$J,0)))</f>
        <v>433</v>
      </c>
      <c r="X835" s="227">
        <f t="shared" si="120"/>
        <v>0</v>
      </c>
      <c r="AB835" s="228" t="str">
        <f t="shared" si="121"/>
        <v>TinEM Vinto</v>
      </c>
    </row>
    <row r="836" spans="1:28" s="227" customFormat="1" ht="40.5">
      <c r="A836" s="301" t="s">
        <v>759</v>
      </c>
      <c r="B836" s="293" t="s">
        <v>1120</v>
      </c>
      <c r="C836" s="294" t="s">
        <v>832</v>
      </c>
      <c r="D836" s="295" t="s">
        <v>832</v>
      </c>
      <c r="E836" s="293" t="s">
        <v>2413</v>
      </c>
      <c r="F836" s="293" t="s">
        <v>759</v>
      </c>
      <c r="G836" s="293" t="s">
        <v>13217</v>
      </c>
      <c r="H836" s="302" t="s">
        <v>15880</v>
      </c>
      <c r="I836" s="297" t="s">
        <v>1755</v>
      </c>
      <c r="J836" s="297" t="s">
        <v>1755</v>
      </c>
      <c r="K836" s="298" t="s">
        <v>15855</v>
      </c>
      <c r="L836" s="298" t="s">
        <v>15855</v>
      </c>
      <c r="M836" s="298" t="s">
        <v>15855</v>
      </c>
      <c r="N836" s="298" t="s">
        <v>15855</v>
      </c>
      <c r="O836" s="298" t="s">
        <v>15855</v>
      </c>
      <c r="P836" s="299" t="s">
        <v>15857</v>
      </c>
      <c r="Q836" s="300" t="s">
        <v>15855</v>
      </c>
      <c r="R836" s="182" t="str">
        <f ca="1">IF(ISERROR($V836),"",OFFSET('Smelter Look-up'!$C$4,$V836-4,0)&amp;"")</f>
        <v>EM Vinto</v>
      </c>
      <c r="S836" s="181" t="str">
        <f t="shared" ca="1" si="119"/>
        <v>BO</v>
      </c>
      <c r="T836" s="181" t="str">
        <f ca="1">IF(B836="","",IF(ISERROR(MATCH($J836,SorP!$B$1:$B$6226,0)),"",INDIRECT("'SorP'!$A$"&amp;MATCH($S836&amp;$J836,SorP!C:C,0))))</f>
        <v>BO-O</v>
      </c>
      <c r="U836" s="201"/>
      <c r="V836" s="226">
        <f>IF(C836="",NA(),IF(OR(C836="Smelter not listed",C836="Smelter not yet identified"),MATCH($B836&amp;$D836,'Smelter Look-up'!$J:$J,0),MATCH($B836&amp;$C836,'Smelter Look-up'!$J:$J,0)))</f>
        <v>433</v>
      </c>
      <c r="X836" s="227">
        <f t="shared" si="120"/>
        <v>0</v>
      </c>
      <c r="AB836" s="228" t="str">
        <f t="shared" si="121"/>
        <v>TinEM Vinto</v>
      </c>
    </row>
    <row r="837" spans="1:28" s="227" customFormat="1" ht="67.5">
      <c r="A837" s="301" t="s">
        <v>759</v>
      </c>
      <c r="B837" s="293" t="s">
        <v>1120</v>
      </c>
      <c r="C837" s="294" t="s">
        <v>832</v>
      </c>
      <c r="D837" s="295" t="s">
        <v>832</v>
      </c>
      <c r="E837" s="293" t="s">
        <v>2413</v>
      </c>
      <c r="F837" s="293" t="s">
        <v>759</v>
      </c>
      <c r="G837" s="293" t="s">
        <v>13217</v>
      </c>
      <c r="H837" s="296" t="s">
        <v>16577</v>
      </c>
      <c r="I837" s="297" t="s">
        <v>1755</v>
      </c>
      <c r="J837" s="297" t="s">
        <v>1755</v>
      </c>
      <c r="K837" s="298" t="s">
        <v>16578</v>
      </c>
      <c r="L837" s="298" t="s">
        <v>16579</v>
      </c>
      <c r="M837" s="298" t="s">
        <v>16562</v>
      </c>
      <c r="N837" s="298" t="s">
        <v>16580</v>
      </c>
      <c r="O837" s="298" t="s">
        <v>16581</v>
      </c>
      <c r="P837" s="299" t="s">
        <v>15857</v>
      </c>
      <c r="Q837" s="300" t="s">
        <v>16582</v>
      </c>
      <c r="R837" s="182" t="str">
        <f ca="1">IF(ISERROR($V837),"",OFFSET('Smelter Look-up'!$C$4,$V837-4,0)&amp;"")</f>
        <v>EM Vinto</v>
      </c>
      <c r="S837" s="181" t="str">
        <f t="shared" ca="1" si="119"/>
        <v>BO</v>
      </c>
      <c r="T837" s="181" t="str">
        <f ca="1">IF(B837="","",IF(ISERROR(MATCH($J837,SorP!$B$1:$B$6226,0)),"",INDIRECT("'SorP'!$A$"&amp;MATCH($S837&amp;$J837,SorP!C:C,0))))</f>
        <v>BO-O</v>
      </c>
      <c r="U837" s="201"/>
      <c r="V837" s="226">
        <f>IF(C837="",NA(),IF(OR(C837="Smelter not listed",C837="Smelter not yet identified"),MATCH($B837&amp;$D837,'Smelter Look-up'!$J:$J,0),MATCH($B837&amp;$C837,'Smelter Look-up'!$J:$J,0)))</f>
        <v>433</v>
      </c>
      <c r="X837" s="227">
        <f t="shared" si="120"/>
        <v>0</v>
      </c>
      <c r="AB837" s="228" t="str">
        <f t="shared" si="121"/>
        <v>TinEM Vinto</v>
      </c>
    </row>
    <row r="838" spans="1:28" s="227" customFormat="1" ht="54">
      <c r="A838" s="301" t="s">
        <v>760</v>
      </c>
      <c r="B838" s="293" t="s">
        <v>1120</v>
      </c>
      <c r="C838" s="294" t="s">
        <v>12404</v>
      </c>
      <c r="D838" s="295" t="s">
        <v>12404</v>
      </c>
      <c r="E838" s="293" t="s">
        <v>1086</v>
      </c>
      <c r="F838" s="293" t="s">
        <v>760</v>
      </c>
      <c r="G838" s="293" t="s">
        <v>13217</v>
      </c>
      <c r="H838" s="296" t="s">
        <v>15855</v>
      </c>
      <c r="I838" s="297" t="s">
        <v>1752</v>
      </c>
      <c r="J838" s="297" t="s">
        <v>1756</v>
      </c>
      <c r="K838" s="298" t="s">
        <v>15855</v>
      </c>
      <c r="L838" s="298" t="s">
        <v>15855</v>
      </c>
      <c r="M838" s="298" t="s">
        <v>15855</v>
      </c>
      <c r="N838" s="298" t="s">
        <v>15855</v>
      </c>
      <c r="O838" s="298" t="s">
        <v>15855</v>
      </c>
      <c r="P838" s="299" t="s">
        <v>15857</v>
      </c>
      <c r="Q838" s="300" t="s">
        <v>15855</v>
      </c>
      <c r="R838" s="182" t="str">
        <f ca="1">IF(ISERROR($V838),"",OFFSET('Smelter Look-up'!$C$4,$V838-4,0)&amp;"")</f>
        <v>Estanho de Rondonia S.A.</v>
      </c>
      <c r="S838" s="181" t="str">
        <f t="shared" ca="1" si="119"/>
        <v>BR</v>
      </c>
      <c r="T838" s="181" t="str">
        <f ca="1">IF(B838="","",IF(ISERROR(MATCH($J838,SorP!$B$1:$B$6226,0)),"",INDIRECT("'SorP'!$A$"&amp;MATCH($S838&amp;$J838,SorP!C:C,0))))</f>
        <v>BR-RO</v>
      </c>
      <c r="U838" s="201"/>
      <c r="V838" s="226">
        <f>IF(C838="",NA(),IF(OR(C838="Smelter not listed",C838="Smelter not yet identified"),MATCH($B838&amp;$D838,'Smelter Look-up'!$J:$J,0),MATCH($B838&amp;$C838,'Smelter Look-up'!$J:$J,0)))</f>
        <v>437</v>
      </c>
      <c r="X838" s="227">
        <f t="shared" si="120"/>
        <v>0</v>
      </c>
      <c r="AB838" s="228" t="str">
        <f t="shared" si="121"/>
        <v>TinEstanho de Rondonia S.A.</v>
      </c>
    </row>
    <row r="839" spans="1:28" s="227" customFormat="1" ht="54">
      <c r="A839" s="301" t="s">
        <v>760</v>
      </c>
      <c r="B839" s="293" t="s">
        <v>1120</v>
      </c>
      <c r="C839" s="294" t="s">
        <v>12404</v>
      </c>
      <c r="D839" s="295" t="s">
        <v>12404</v>
      </c>
      <c r="E839" s="293" t="s">
        <v>1086</v>
      </c>
      <c r="F839" s="293" t="s">
        <v>760</v>
      </c>
      <c r="G839" s="293" t="s">
        <v>13217</v>
      </c>
      <c r="H839" s="296" t="s">
        <v>15855</v>
      </c>
      <c r="I839" s="297" t="s">
        <v>1752</v>
      </c>
      <c r="J839" s="297" t="s">
        <v>1756</v>
      </c>
      <c r="K839" s="298" t="s">
        <v>15855</v>
      </c>
      <c r="L839" s="298" t="s">
        <v>15855</v>
      </c>
      <c r="M839" s="298" t="s">
        <v>15855</v>
      </c>
      <c r="N839" s="298" t="s">
        <v>15855</v>
      </c>
      <c r="O839" s="298" t="s">
        <v>15858</v>
      </c>
      <c r="P839" s="299" t="s">
        <v>15857</v>
      </c>
      <c r="Q839" s="300" t="s">
        <v>15855</v>
      </c>
      <c r="R839" s="182" t="str">
        <f ca="1">IF(ISERROR($V839),"",OFFSET('Smelter Look-up'!$C$4,$V839-4,0)&amp;"")</f>
        <v>Estanho de Rondonia S.A.</v>
      </c>
      <c r="S839" s="181" t="str">
        <f t="shared" ca="1" si="119"/>
        <v>BR</v>
      </c>
      <c r="T839" s="181" t="str">
        <f ca="1">IF(B839="","",IF(ISERROR(MATCH($J839,SorP!$B$1:$B$6226,0)),"",INDIRECT("'SorP'!$A$"&amp;MATCH($S839&amp;$J839,SorP!C:C,0))))</f>
        <v>BR-RO</v>
      </c>
      <c r="U839" s="201"/>
      <c r="V839" s="226">
        <f>IF(C839="",NA(),IF(OR(C839="Smelter not listed",C839="Smelter not yet identified"),MATCH($B839&amp;$D839,'Smelter Look-up'!$J:$J,0),MATCH($B839&amp;$C839,'Smelter Look-up'!$J:$J,0)))</f>
        <v>437</v>
      </c>
      <c r="X839" s="227">
        <f t="shared" si="120"/>
        <v>0</v>
      </c>
      <c r="AB839" s="228" t="str">
        <f t="shared" si="121"/>
        <v>TinEstanho de Rondonia S.A.</v>
      </c>
    </row>
    <row r="840" spans="1:28" s="227" customFormat="1" ht="54">
      <c r="A840" s="301" t="s">
        <v>760</v>
      </c>
      <c r="B840" s="293" t="s">
        <v>1120</v>
      </c>
      <c r="C840" s="294" t="s">
        <v>12682</v>
      </c>
      <c r="D840" s="295" t="s">
        <v>12404</v>
      </c>
      <c r="E840" s="293" t="s">
        <v>1086</v>
      </c>
      <c r="F840" s="293" t="s">
        <v>760</v>
      </c>
      <c r="G840" s="293" t="s">
        <v>13217</v>
      </c>
      <c r="H840" s="296" t="s">
        <v>15855</v>
      </c>
      <c r="I840" s="297" t="s">
        <v>1752</v>
      </c>
      <c r="J840" s="297" t="s">
        <v>1756</v>
      </c>
      <c r="K840" s="298" t="s">
        <v>15855</v>
      </c>
      <c r="L840" s="298" t="s">
        <v>15855</v>
      </c>
      <c r="M840" s="298" t="s">
        <v>15855</v>
      </c>
      <c r="N840" s="298" t="s">
        <v>15855</v>
      </c>
      <c r="O840" s="298" t="s">
        <v>15855</v>
      </c>
      <c r="P840" s="299" t="s">
        <v>15857</v>
      </c>
      <c r="Q840" s="300" t="s">
        <v>15855</v>
      </c>
      <c r="R840" s="182" t="str">
        <f ca="1">IF(ISERROR($V840),"",OFFSET('Smelter Look-up'!$C$4,$V840-4,0)&amp;"")</f>
        <v>Estanho de Rondonia S.A.</v>
      </c>
      <c r="S840" s="181" t="str">
        <f t="shared" ca="1" si="119"/>
        <v>BR</v>
      </c>
      <c r="T840" s="181" t="str">
        <f ca="1">IF(B840="","",IF(ISERROR(MATCH($J840,SorP!$B$1:$B$6226,0)),"",INDIRECT("'SorP'!$A$"&amp;MATCH($S840&amp;$J840,SorP!C:C,0))))</f>
        <v>BR-RO</v>
      </c>
      <c r="U840" s="201"/>
      <c r="V840" s="226">
        <f>IF(C840="",NA(),IF(OR(C840="Smelter not listed",C840="Smelter not yet identified"),MATCH($B840&amp;$D840,'Smelter Look-up'!$J:$J,0),MATCH($B840&amp;$C840,'Smelter Look-up'!$J:$J,0)))</f>
        <v>438</v>
      </c>
      <c r="X840" s="227">
        <f t="shared" si="120"/>
        <v>0</v>
      </c>
      <c r="AB840" s="228" t="str">
        <f t="shared" si="121"/>
        <v>TinEstanho de Rondônia S.A.</v>
      </c>
    </row>
    <row r="841" spans="1:28" s="227" customFormat="1" ht="94.5">
      <c r="A841" s="301" t="s">
        <v>15068</v>
      </c>
      <c r="B841" s="293" t="s">
        <v>1120</v>
      </c>
      <c r="C841" s="294" t="s">
        <v>15067</v>
      </c>
      <c r="D841" s="295" t="s">
        <v>15067</v>
      </c>
      <c r="E841" s="293" t="s">
        <v>1086</v>
      </c>
      <c r="F841" s="293" t="s">
        <v>15068</v>
      </c>
      <c r="G841" s="293" t="s">
        <v>13217</v>
      </c>
      <c r="H841" s="296" t="s">
        <v>15855</v>
      </c>
      <c r="I841" s="297" t="s">
        <v>15110</v>
      </c>
      <c r="J841" s="297" t="s">
        <v>1666</v>
      </c>
      <c r="K841" s="298" t="s">
        <v>15855</v>
      </c>
      <c r="L841" s="298" t="s">
        <v>15855</v>
      </c>
      <c r="M841" s="298" t="s">
        <v>15855</v>
      </c>
      <c r="N841" s="298" t="s">
        <v>15855</v>
      </c>
      <c r="O841" s="298" t="s">
        <v>15855</v>
      </c>
      <c r="P841" s="299" t="s">
        <v>15857</v>
      </c>
      <c r="Q841" s="300" t="s">
        <v>15855</v>
      </c>
      <c r="R841" s="182" t="str">
        <f ca="1">IF(ISERROR($V841),"",OFFSET('Smelter Look-up'!$C$4,$V841-4,0)&amp;"")</f>
        <v>Fabrica Auricchio Industria e Comercio Ltda.</v>
      </c>
      <c r="S841" s="181" t="str">
        <f t="shared" ca="1" si="119"/>
        <v>BR</v>
      </c>
      <c r="T841" s="181" t="str">
        <f ca="1">IF(B841="","",IF(ISERROR(MATCH($J841,SorP!$B$1:$B$6226,0)),"",INDIRECT("'SorP'!$A$"&amp;MATCH($S841&amp;$J841,SorP!C:C,0))))</f>
        <v>BR-SP</v>
      </c>
      <c r="U841" s="201"/>
      <c r="V841" s="226">
        <f>IF(C841="",NA(),IF(OR(C841="Smelter not listed",C841="Smelter not yet identified"),MATCH($B841&amp;$D841,'Smelter Look-up'!$J:$J,0),MATCH($B841&amp;$C841,'Smelter Look-up'!$J:$J,0)))</f>
        <v>441</v>
      </c>
      <c r="X841" s="227">
        <f t="shared" si="120"/>
        <v>0</v>
      </c>
      <c r="AB841" s="228" t="str">
        <f t="shared" si="121"/>
        <v>TinFabrica Auricchio Industria e Comercio Ltda.</v>
      </c>
    </row>
    <row r="842" spans="1:28" s="227" customFormat="1" ht="94.5">
      <c r="A842" s="301" t="s">
        <v>15068</v>
      </c>
      <c r="B842" s="293" t="s">
        <v>1120</v>
      </c>
      <c r="C842" s="294" t="s">
        <v>15067</v>
      </c>
      <c r="D842" s="295" t="s">
        <v>15067</v>
      </c>
      <c r="E842" s="293" t="s">
        <v>1086</v>
      </c>
      <c r="F842" s="293" t="s">
        <v>15068</v>
      </c>
      <c r="G842" s="293" t="s">
        <v>13217</v>
      </c>
      <c r="H842" s="296" t="s">
        <v>15855</v>
      </c>
      <c r="I842" s="297" t="s">
        <v>15110</v>
      </c>
      <c r="J842" s="297" t="s">
        <v>1666</v>
      </c>
      <c r="K842" s="298" t="s">
        <v>15855</v>
      </c>
      <c r="L842" s="298" t="s">
        <v>15855</v>
      </c>
      <c r="M842" s="298" t="s">
        <v>15855</v>
      </c>
      <c r="N842" s="298" t="s">
        <v>15855</v>
      </c>
      <c r="O842" s="298" t="s">
        <v>15858</v>
      </c>
      <c r="P842" s="299" t="s">
        <v>15857</v>
      </c>
      <c r="Q842" s="300" t="s">
        <v>15855</v>
      </c>
      <c r="R842" s="182" t="str">
        <f ca="1">IF(ISERROR($V842),"",OFFSET('Smelter Look-up'!$C$4,$V842-4,0)&amp;"")</f>
        <v>Fabrica Auricchio Industria e Comercio Ltda.</v>
      </c>
      <c r="S842" s="181" t="str">
        <f t="shared" ca="1" si="119"/>
        <v>BR</v>
      </c>
      <c r="T842" s="181" t="str">
        <f ca="1">IF(B842="","",IF(ISERROR(MATCH($J842,SorP!$B$1:$B$6226,0)),"",INDIRECT("'SorP'!$A$"&amp;MATCH($S842&amp;$J842,SorP!C:C,0))))</f>
        <v>BR-SP</v>
      </c>
      <c r="U842" s="201"/>
      <c r="V842" s="226">
        <f>IF(C842="",NA(),IF(OR(C842="Smelter not listed",C842="Smelter not yet identified"),MATCH($B842&amp;$D842,'Smelter Look-up'!$J:$J,0),MATCH($B842&amp;$C842,'Smelter Look-up'!$J:$J,0)))</f>
        <v>441</v>
      </c>
      <c r="X842" s="227">
        <f t="shared" si="120"/>
        <v>0</v>
      </c>
      <c r="AB842" s="228" t="str">
        <f t="shared" si="121"/>
        <v>TinFabrica Auricchio Industria e Comercio Ltda.</v>
      </c>
    </row>
    <row r="843" spans="1:28" s="227" customFormat="1" ht="94.5">
      <c r="A843" s="301" t="s">
        <v>15068</v>
      </c>
      <c r="B843" s="293" t="s">
        <v>1120</v>
      </c>
      <c r="C843" s="294" t="s">
        <v>15067</v>
      </c>
      <c r="D843" s="295" t="s">
        <v>15067</v>
      </c>
      <c r="E843" s="293" t="s">
        <v>1086</v>
      </c>
      <c r="F843" s="293" t="s">
        <v>15068</v>
      </c>
      <c r="G843" s="293" t="s">
        <v>13217</v>
      </c>
      <c r="H843" s="296" t="s">
        <v>15855</v>
      </c>
      <c r="I843" s="297" t="s">
        <v>15110</v>
      </c>
      <c r="J843" s="297" t="s">
        <v>1666</v>
      </c>
      <c r="K843" s="298" t="s">
        <v>16583</v>
      </c>
      <c r="L843" s="298" t="s">
        <v>16584</v>
      </c>
      <c r="M843" s="298" t="s">
        <v>15892</v>
      </c>
      <c r="N843" s="298" t="s">
        <v>15862</v>
      </c>
      <c r="O843" s="298" t="s">
        <v>16209</v>
      </c>
      <c r="P843" s="299" t="s">
        <v>15857</v>
      </c>
      <c r="Q843" s="300" t="s">
        <v>15855</v>
      </c>
      <c r="R843" s="182" t="str">
        <f ca="1">IF(ISERROR($V843),"",OFFSET('Smelter Look-up'!$C$4,$V843-4,0)&amp;"")</f>
        <v>Fabrica Auricchio Industria e Comercio Ltda.</v>
      </c>
      <c r="S843" s="181" t="str">
        <f t="shared" ca="1" si="119"/>
        <v>BR</v>
      </c>
      <c r="T843" s="181" t="str">
        <f ca="1">IF(B843="","",IF(ISERROR(MATCH($J843,SorP!$B$1:$B$6226,0)),"",INDIRECT("'SorP'!$A$"&amp;MATCH($S843&amp;$J843,SorP!C:C,0))))</f>
        <v>BR-SP</v>
      </c>
      <c r="U843" s="201"/>
      <c r="V843" s="226">
        <f>IF(C843="",NA(),IF(OR(C843="Smelter not listed",C843="Smelter not yet identified"),MATCH($B843&amp;$D843,'Smelter Look-up'!$J:$J,0),MATCH($B843&amp;$C843,'Smelter Look-up'!$J:$J,0)))</f>
        <v>441</v>
      </c>
      <c r="X843" s="227">
        <f t="shared" si="120"/>
        <v>0</v>
      </c>
      <c r="AB843" s="228" t="str">
        <f t="shared" si="121"/>
        <v>TinFabrica Auricchio Industria e Comercio Ltda.</v>
      </c>
    </row>
    <row r="844" spans="1:28" s="227" customFormat="1" ht="27">
      <c r="A844" s="301" t="s">
        <v>761</v>
      </c>
      <c r="B844" s="293" t="s">
        <v>1120</v>
      </c>
      <c r="C844" s="294" t="s">
        <v>805</v>
      </c>
      <c r="D844" s="295" t="s">
        <v>805</v>
      </c>
      <c r="E844" s="293" t="s">
        <v>872</v>
      </c>
      <c r="F844" s="293" t="s">
        <v>761</v>
      </c>
      <c r="G844" s="293" t="s">
        <v>13217</v>
      </c>
      <c r="H844" s="296" t="s">
        <v>15855</v>
      </c>
      <c r="I844" s="297" t="s">
        <v>1757</v>
      </c>
      <c r="J844" s="297" t="s">
        <v>9479</v>
      </c>
      <c r="K844" s="298" t="s">
        <v>15855</v>
      </c>
      <c r="L844" s="298" t="s">
        <v>15855</v>
      </c>
      <c r="M844" s="298" t="s">
        <v>15855</v>
      </c>
      <c r="N844" s="298" t="s">
        <v>15855</v>
      </c>
      <c r="O844" s="298" t="s">
        <v>15855</v>
      </c>
      <c r="P844" s="299" t="s">
        <v>15857</v>
      </c>
      <c r="Q844" s="300" t="s">
        <v>15855</v>
      </c>
      <c r="R844" s="182" t="str">
        <f ca="1">IF(ISERROR($V844),"",OFFSET('Smelter Look-up'!$C$4,$V844-4,0)&amp;"")</f>
        <v>Fenix Metals</v>
      </c>
      <c r="S844" s="181" t="str">
        <f t="shared" ca="1" si="119"/>
        <v>PL</v>
      </c>
      <c r="T844" s="181" t="str">
        <f ca="1">IF(B844="","",IF(ISERROR(MATCH($J844,SorP!$B$1:$B$6226,0)),"",INDIRECT("'SorP'!$A$"&amp;MATCH($S844&amp;$J844,SorP!C:C,0))))</f>
        <v>PL-18</v>
      </c>
      <c r="U844" s="201"/>
      <c r="V844" s="226">
        <f>IF(C844="",NA(),IF(OR(C844="Smelter not listed",C844="Smelter not yet identified"),MATCH($B844&amp;$D844,'Smelter Look-up'!$J:$J,0),MATCH($B844&amp;$C844,'Smelter Look-up'!$J:$J,0)))</f>
        <v>442</v>
      </c>
      <c r="X844" s="227">
        <f t="shared" si="120"/>
        <v>0</v>
      </c>
      <c r="AB844" s="228" t="str">
        <f t="shared" si="121"/>
        <v>TinFenix Metals</v>
      </c>
    </row>
    <row r="845" spans="1:28" s="227" customFormat="1" ht="27">
      <c r="A845" s="301" t="s">
        <v>761</v>
      </c>
      <c r="B845" s="293" t="s">
        <v>1120</v>
      </c>
      <c r="C845" s="294" t="s">
        <v>805</v>
      </c>
      <c r="D845" s="295" t="s">
        <v>805</v>
      </c>
      <c r="E845" s="293" t="s">
        <v>872</v>
      </c>
      <c r="F845" s="293" t="s">
        <v>761</v>
      </c>
      <c r="G845" s="293" t="s">
        <v>13217</v>
      </c>
      <c r="H845" s="296" t="s">
        <v>15855</v>
      </c>
      <c r="I845" s="297" t="s">
        <v>1757</v>
      </c>
      <c r="J845" s="297" t="s">
        <v>9479</v>
      </c>
      <c r="K845" s="298" t="s">
        <v>15855</v>
      </c>
      <c r="L845" s="298" t="s">
        <v>15855</v>
      </c>
      <c r="M845" s="298" t="s">
        <v>15855</v>
      </c>
      <c r="N845" s="298" t="s">
        <v>15855</v>
      </c>
      <c r="O845" s="298" t="s">
        <v>15855</v>
      </c>
      <c r="P845" s="299" t="s">
        <v>15857</v>
      </c>
      <c r="Q845" s="300" t="s">
        <v>16531</v>
      </c>
      <c r="R845" s="182" t="str">
        <f ca="1">IF(ISERROR($V845),"",OFFSET('Smelter Look-up'!$C$4,$V845-4,0)&amp;"")</f>
        <v>Fenix Metals</v>
      </c>
      <c r="S845" s="181" t="str">
        <f t="shared" ca="1" si="119"/>
        <v>PL</v>
      </c>
      <c r="T845" s="181" t="str">
        <f ca="1">IF(B845="","",IF(ISERROR(MATCH($J845,SorP!$B$1:$B$6226,0)),"",INDIRECT("'SorP'!$A$"&amp;MATCH($S845&amp;$J845,SorP!C:C,0))))</f>
        <v>PL-18</v>
      </c>
      <c r="U845" s="201"/>
      <c r="V845" s="226">
        <f>IF(C845="",NA(),IF(OR(C845="Smelter not listed",C845="Smelter not yet identified"),MATCH($B845&amp;$D845,'Smelter Look-up'!$J:$J,0),MATCH($B845&amp;$C845,'Smelter Look-up'!$J:$J,0)))</f>
        <v>442</v>
      </c>
      <c r="X845" s="227">
        <f t="shared" si="120"/>
        <v>0</v>
      </c>
      <c r="AB845" s="228" t="str">
        <f t="shared" si="121"/>
        <v>TinFenix Metals</v>
      </c>
    </row>
    <row r="846" spans="1:28" s="227" customFormat="1" ht="27">
      <c r="A846" s="301" t="s">
        <v>761</v>
      </c>
      <c r="B846" s="293" t="s">
        <v>1120</v>
      </c>
      <c r="C846" s="294" t="s">
        <v>805</v>
      </c>
      <c r="D846" s="295" t="s">
        <v>805</v>
      </c>
      <c r="E846" s="293" t="s">
        <v>872</v>
      </c>
      <c r="F846" s="293" t="s">
        <v>761</v>
      </c>
      <c r="G846" s="293" t="s">
        <v>13217</v>
      </c>
      <c r="H846" s="296" t="s">
        <v>15855</v>
      </c>
      <c r="I846" s="297" t="s">
        <v>1757</v>
      </c>
      <c r="J846" s="297" t="s">
        <v>9479</v>
      </c>
      <c r="K846" s="298" t="s">
        <v>15855</v>
      </c>
      <c r="L846" s="298" t="s">
        <v>15855</v>
      </c>
      <c r="M846" s="298" t="s">
        <v>15855</v>
      </c>
      <c r="N846" s="298" t="s">
        <v>15855</v>
      </c>
      <c r="O846" s="298" t="s">
        <v>16585</v>
      </c>
      <c r="P846" s="299" t="s">
        <v>15857</v>
      </c>
      <c r="Q846" s="300" t="s">
        <v>15855</v>
      </c>
      <c r="R846" s="182" t="str">
        <f ca="1">IF(ISERROR($V846),"",OFFSET('Smelter Look-up'!$C$4,$V846-4,0)&amp;"")</f>
        <v>Fenix Metals</v>
      </c>
      <c r="S846" s="181" t="str">
        <f t="shared" ca="1" si="119"/>
        <v>PL</v>
      </c>
      <c r="T846" s="181" t="str">
        <f ca="1">IF(B846="","",IF(ISERROR(MATCH($J846,SorP!$B$1:$B$6226,0)),"",INDIRECT("'SorP'!$A$"&amp;MATCH($S846&amp;$J846,SorP!C:C,0))))</f>
        <v>PL-18</v>
      </c>
      <c r="U846" s="201"/>
      <c r="V846" s="226">
        <f>IF(C846="",NA(),IF(OR(C846="Smelter not listed",C846="Smelter not yet identified"),MATCH($B846&amp;$D846,'Smelter Look-up'!$J:$J,0),MATCH($B846&amp;$C846,'Smelter Look-up'!$J:$J,0)))</f>
        <v>442</v>
      </c>
      <c r="X846" s="227">
        <f t="shared" si="120"/>
        <v>0</v>
      </c>
      <c r="AB846" s="228" t="str">
        <f t="shared" si="121"/>
        <v>TinFenix Metals</v>
      </c>
    </row>
    <row r="847" spans="1:28" s="227" customFormat="1" ht="27">
      <c r="A847" s="301" t="s">
        <v>761</v>
      </c>
      <c r="B847" s="293" t="s">
        <v>1120</v>
      </c>
      <c r="C847" s="294" t="s">
        <v>805</v>
      </c>
      <c r="D847" s="295" t="s">
        <v>805</v>
      </c>
      <c r="E847" s="293" t="s">
        <v>872</v>
      </c>
      <c r="F847" s="293" t="s">
        <v>761</v>
      </c>
      <c r="G847" s="293" t="s">
        <v>13217</v>
      </c>
      <c r="H847" s="296" t="s">
        <v>15855</v>
      </c>
      <c r="I847" s="297" t="s">
        <v>1757</v>
      </c>
      <c r="J847" s="297" t="s">
        <v>9479</v>
      </c>
      <c r="K847" s="298" t="s">
        <v>16586</v>
      </c>
      <c r="L847" s="298" t="s">
        <v>16587</v>
      </c>
      <c r="M847" s="298" t="s">
        <v>15869</v>
      </c>
      <c r="N847" s="298" t="s">
        <v>16588</v>
      </c>
      <c r="O847" s="298" t="s">
        <v>15871</v>
      </c>
      <c r="P847" s="299" t="s">
        <v>15857</v>
      </c>
      <c r="Q847" s="300" t="s">
        <v>15855</v>
      </c>
      <c r="R847" s="182" t="str">
        <f ca="1">IF(ISERROR($V847),"",OFFSET('Smelter Look-up'!$C$4,$V847-4,0)&amp;"")</f>
        <v>Fenix Metals</v>
      </c>
      <c r="S847" s="181" t="str">
        <f t="shared" ca="1" si="119"/>
        <v>PL</v>
      </c>
      <c r="T847" s="181" t="str">
        <f ca="1">IF(B847="","",IF(ISERROR(MATCH($J847,SorP!$B$1:$B$6226,0)),"",INDIRECT("'SorP'!$A$"&amp;MATCH($S847&amp;$J847,SorP!C:C,0))))</f>
        <v>PL-18</v>
      </c>
      <c r="U847" s="201"/>
      <c r="V847" s="226">
        <f>IF(C847="",NA(),IF(OR(C847="Smelter not listed",C847="Smelter not yet identified"),MATCH($B847&amp;$D847,'Smelter Look-up'!$J:$J,0),MATCH($B847&amp;$C847,'Smelter Look-up'!$J:$J,0)))</f>
        <v>442</v>
      </c>
      <c r="X847" s="227">
        <f t="shared" si="120"/>
        <v>0</v>
      </c>
      <c r="AB847" s="228" t="str">
        <f t="shared" si="121"/>
        <v>TinFenix Metals</v>
      </c>
    </row>
    <row r="848" spans="1:28" s="227" customFormat="1" ht="27">
      <c r="A848" s="301" t="s">
        <v>761</v>
      </c>
      <c r="B848" s="293" t="s">
        <v>1120</v>
      </c>
      <c r="C848" s="294" t="s">
        <v>805</v>
      </c>
      <c r="D848" s="295" t="s">
        <v>805</v>
      </c>
      <c r="E848" s="293" t="s">
        <v>872</v>
      </c>
      <c r="F848" s="293" t="s">
        <v>761</v>
      </c>
      <c r="G848" s="293" t="s">
        <v>13217</v>
      </c>
      <c r="H848" s="302" t="s">
        <v>15880</v>
      </c>
      <c r="I848" s="297" t="s">
        <v>1757</v>
      </c>
      <c r="J848" s="297" t="s">
        <v>9479</v>
      </c>
      <c r="K848" s="298" t="s">
        <v>15855</v>
      </c>
      <c r="L848" s="298" t="s">
        <v>15855</v>
      </c>
      <c r="M848" s="298" t="s">
        <v>15855</v>
      </c>
      <c r="N848" s="298" t="s">
        <v>15855</v>
      </c>
      <c r="O848" s="298" t="s">
        <v>15855</v>
      </c>
      <c r="P848" s="299" t="s">
        <v>15857</v>
      </c>
      <c r="Q848" s="300" t="s">
        <v>15855</v>
      </c>
      <c r="R848" s="182" t="str">
        <f ca="1">IF(ISERROR($V848),"",OFFSET('Smelter Look-up'!$C$4,$V848-4,0)&amp;"")</f>
        <v>Fenix Metals</v>
      </c>
      <c r="S848" s="181" t="str">
        <f t="shared" ca="1" si="119"/>
        <v>PL</v>
      </c>
      <c r="T848" s="181" t="str">
        <f ca="1">IF(B848="","",IF(ISERROR(MATCH($J848,SorP!$B$1:$B$6226,0)),"",INDIRECT("'SorP'!$A$"&amp;MATCH($S848&amp;$J848,SorP!C:C,0))))</f>
        <v>PL-18</v>
      </c>
      <c r="U848" s="201"/>
      <c r="V848" s="226">
        <f>IF(C848="",NA(),IF(OR(C848="Smelter not listed",C848="Smelter not yet identified"),MATCH($B848&amp;$D848,'Smelter Look-up'!$J:$J,0),MATCH($B848&amp;$C848,'Smelter Look-up'!$J:$J,0)))</f>
        <v>442</v>
      </c>
      <c r="X848" s="227">
        <f t="shared" si="120"/>
        <v>0</v>
      </c>
      <c r="AB848" s="228" t="str">
        <f t="shared" si="121"/>
        <v>TinFenix Metals</v>
      </c>
    </row>
    <row r="849" spans="1:28" s="227" customFormat="1" ht="27">
      <c r="A849" s="301" t="s">
        <v>761</v>
      </c>
      <c r="B849" s="293" t="s">
        <v>1120</v>
      </c>
      <c r="C849" s="294" t="s">
        <v>805</v>
      </c>
      <c r="D849" s="295" t="s">
        <v>805</v>
      </c>
      <c r="E849" s="293" t="s">
        <v>872</v>
      </c>
      <c r="F849" s="293" t="s">
        <v>761</v>
      </c>
      <c r="G849" s="293" t="s">
        <v>13217</v>
      </c>
      <c r="H849" s="296" t="s">
        <v>16589</v>
      </c>
      <c r="I849" s="297" t="s">
        <v>1757</v>
      </c>
      <c r="J849" s="297" t="s">
        <v>9479</v>
      </c>
      <c r="K849" s="298" t="s">
        <v>16590</v>
      </c>
      <c r="L849" s="298" t="s">
        <v>16587</v>
      </c>
      <c r="M849" s="298" t="s">
        <v>16345</v>
      </c>
      <c r="N849" s="298" t="s">
        <v>16540</v>
      </c>
      <c r="O849" s="298" t="s">
        <v>16540</v>
      </c>
      <c r="P849" s="299" t="s">
        <v>15875</v>
      </c>
      <c r="Q849" s="300" t="s">
        <v>15855</v>
      </c>
      <c r="R849" s="182" t="str">
        <f ca="1">IF(ISERROR($V849),"",OFFSET('Smelter Look-up'!$C$4,$V849-4,0)&amp;"")</f>
        <v>Fenix Metals</v>
      </c>
      <c r="S849" s="181" t="str">
        <f t="shared" ca="1" si="119"/>
        <v>PL</v>
      </c>
      <c r="T849" s="181" t="str">
        <f ca="1">IF(B849="","",IF(ISERROR(MATCH($J849,SorP!$B$1:$B$6226,0)),"",INDIRECT("'SorP'!$A$"&amp;MATCH($S849&amp;$J849,SorP!C:C,0))))</f>
        <v>PL-18</v>
      </c>
      <c r="U849" s="201"/>
      <c r="V849" s="226">
        <f>IF(C849="",NA(),IF(OR(C849="Smelter not listed",C849="Smelter not yet identified"),MATCH($B849&amp;$D849,'Smelter Look-up'!$J:$J,0),MATCH($B849&amp;$C849,'Smelter Look-up'!$J:$J,0)))</f>
        <v>442</v>
      </c>
      <c r="X849" s="227">
        <f t="shared" si="120"/>
        <v>0</v>
      </c>
      <c r="AB849" s="228" t="str">
        <f t="shared" si="121"/>
        <v>TinFenix Metals</v>
      </c>
    </row>
    <row r="850" spans="1:28" s="227" customFormat="1" ht="94.5">
      <c r="A850" s="301" t="s">
        <v>13777</v>
      </c>
      <c r="B850" s="293" t="s">
        <v>1120</v>
      </c>
      <c r="C850" s="294" t="s">
        <v>13825</v>
      </c>
      <c r="D850" s="295" t="s">
        <v>13825</v>
      </c>
      <c r="E850" s="293" t="s">
        <v>1090</v>
      </c>
      <c r="F850" s="293" t="s">
        <v>13777</v>
      </c>
      <c r="G850" s="293" t="s">
        <v>13217</v>
      </c>
      <c r="H850" s="296" t="s">
        <v>15855</v>
      </c>
      <c r="I850" s="297" t="s">
        <v>2429</v>
      </c>
      <c r="J850" s="297" t="s">
        <v>13605</v>
      </c>
      <c r="K850" s="298" t="s">
        <v>15855</v>
      </c>
      <c r="L850" s="298" t="s">
        <v>15855</v>
      </c>
      <c r="M850" s="298" t="s">
        <v>15855</v>
      </c>
      <c r="N850" s="298" t="s">
        <v>15855</v>
      </c>
      <c r="O850" s="298" t="s">
        <v>15858</v>
      </c>
      <c r="P850" s="299" t="s">
        <v>15857</v>
      </c>
      <c r="Q850" s="300" t="s">
        <v>15855</v>
      </c>
      <c r="R850" s="182" t="str">
        <f ca="1">IF(ISERROR($V850),"",OFFSET('Smelter Look-up'!$C$4,$V850-4,0)&amp;"")</f>
        <v>Gejiu City Fuxiang Industry and Trade Co., Ltd.</v>
      </c>
      <c r="S850" s="181" t="str">
        <f t="shared" ca="1" si="119"/>
        <v>CN</v>
      </c>
      <c r="T850" s="181" t="str">
        <f ca="1">IF(B850="","",IF(ISERROR(MATCH($J850,SorP!$B$1:$B$6226,0)),"",INDIRECT("'SorP'!$A$"&amp;MATCH($S850&amp;$J850,SorP!C:C,0))))</f>
        <v>CN-YN</v>
      </c>
      <c r="U850" s="201"/>
      <c r="V850" s="226">
        <f>IF(C850="",NA(),IF(OR(C850="Smelter not listed",C850="Smelter not yet identified"),MATCH($B850&amp;$D850,'Smelter Look-up'!$J:$J,0),MATCH($B850&amp;$C850,'Smelter Look-up'!$J:$J,0)))</f>
        <v>445</v>
      </c>
      <c r="X850" s="227">
        <f t="shared" si="120"/>
        <v>0</v>
      </c>
      <c r="AB850" s="228" t="str">
        <f t="shared" si="121"/>
        <v>TinGejiu City Fuxiang Industry and Trade Co., Ltd.</v>
      </c>
    </row>
    <row r="851" spans="1:28" s="227" customFormat="1" ht="67.5">
      <c r="A851" s="301" t="s">
        <v>16591</v>
      </c>
      <c r="B851" s="293" t="s">
        <v>1120</v>
      </c>
      <c r="C851" s="294" t="s">
        <v>16592</v>
      </c>
      <c r="D851" s="295" t="s">
        <v>16592</v>
      </c>
      <c r="E851" s="293" t="s">
        <v>1090</v>
      </c>
      <c r="F851" s="293" t="s">
        <v>16591</v>
      </c>
      <c r="G851" s="293" t="s">
        <v>15865</v>
      </c>
      <c r="H851" s="296" t="s">
        <v>15855</v>
      </c>
      <c r="I851" s="297" t="s">
        <v>16593</v>
      </c>
      <c r="J851" s="297" t="s">
        <v>16594</v>
      </c>
      <c r="K851" s="298" t="s">
        <v>15855</v>
      </c>
      <c r="L851" s="298" t="s">
        <v>15855</v>
      </c>
      <c r="M851" s="298" t="s">
        <v>15855</v>
      </c>
      <c r="N851" s="298" t="s">
        <v>15855</v>
      </c>
      <c r="O851" s="298" t="s">
        <v>15855</v>
      </c>
      <c r="P851" s="299" t="s">
        <v>15857</v>
      </c>
      <c r="Q851" s="300" t="s">
        <v>15855</v>
      </c>
      <c r="R851" s="182" t="str">
        <f ca="1">IF(ISERROR($V851),"",OFFSET('Smelter Look-up'!$C$4,$V851-4,0)&amp;"")</f>
        <v/>
      </c>
      <c r="S851" s="181" t="str">
        <f t="shared" ca="1" si="119"/>
        <v>CN</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si="120"/>
        <v>0</v>
      </c>
      <c r="AB851" s="228" t="str">
        <f t="shared" si="121"/>
        <v>TinGejiu Jinye Mineral Company</v>
      </c>
    </row>
    <row r="852" spans="1:28" s="227" customFormat="1" ht="81">
      <c r="A852" s="301" t="s">
        <v>764</v>
      </c>
      <c r="B852" s="293" t="s">
        <v>1120</v>
      </c>
      <c r="C852" s="294" t="s">
        <v>1413</v>
      </c>
      <c r="D852" s="295" t="s">
        <v>1413</v>
      </c>
      <c r="E852" s="293" t="s">
        <v>1090</v>
      </c>
      <c r="F852" s="293" t="s">
        <v>764</v>
      </c>
      <c r="G852" s="293" t="s">
        <v>15864</v>
      </c>
      <c r="H852" s="296" t="s">
        <v>15855</v>
      </c>
      <c r="I852" s="297" t="s">
        <v>2429</v>
      </c>
      <c r="J852" s="297" t="s">
        <v>16123</v>
      </c>
      <c r="K852" s="298" t="s">
        <v>15855</v>
      </c>
      <c r="L852" s="298" t="s">
        <v>15855</v>
      </c>
      <c r="M852" s="298" t="s">
        <v>15855</v>
      </c>
      <c r="N852" s="298" t="s">
        <v>15855</v>
      </c>
      <c r="O852" s="298" t="s">
        <v>15855</v>
      </c>
      <c r="P852" s="299" t="s">
        <v>15857</v>
      </c>
      <c r="Q852" s="300" t="s">
        <v>15855</v>
      </c>
      <c r="R852" s="182" t="str">
        <f ca="1">IF(ISERROR($V852),"",OFFSET('Smelter Look-up'!$C$4,$V852-4,0)&amp;"")</f>
        <v>Gejiu Kai Meng Industry and Trade LLC</v>
      </c>
      <c r="S852" s="181" t="str">
        <f t="shared" ca="1" si="119"/>
        <v>CN</v>
      </c>
      <c r="T852" s="181" t="str">
        <f ca="1">IF(B852="","",IF(ISERROR(MATCH($J852,SorP!$B$1:$B$6226,0)),"",INDIRECT("'SorP'!$A$"&amp;MATCH($S852&amp;$J852,SorP!C:C,0))))</f>
        <v/>
      </c>
      <c r="U852" s="201"/>
      <c r="V852" s="226">
        <f>IF(C852="",NA(),IF(OR(C852="Smelter not listed",C852="Smelter not yet identified"),MATCH($B852&amp;$D852,'Smelter Look-up'!$J:$J,0),MATCH($B852&amp;$C852,'Smelter Look-up'!$J:$J,0)))</f>
        <v>447</v>
      </c>
      <c r="X852" s="227">
        <f t="shared" si="120"/>
        <v>0</v>
      </c>
      <c r="AB852" s="228" t="str">
        <f t="shared" si="121"/>
        <v>TinGejiu Kai Meng Industry and Trade LLC</v>
      </c>
    </row>
    <row r="853" spans="1:28" s="227" customFormat="1" ht="81">
      <c r="A853" s="301" t="s">
        <v>764</v>
      </c>
      <c r="B853" s="293" t="s">
        <v>1120</v>
      </c>
      <c r="C853" s="294" t="s">
        <v>1413</v>
      </c>
      <c r="D853" s="295" t="s">
        <v>1413</v>
      </c>
      <c r="E853" s="293" t="s">
        <v>1090</v>
      </c>
      <c r="F853" s="293" t="s">
        <v>764</v>
      </c>
      <c r="G853" s="293" t="s">
        <v>13217</v>
      </c>
      <c r="H853" s="296" t="s">
        <v>15855</v>
      </c>
      <c r="I853" s="297" t="s">
        <v>2429</v>
      </c>
      <c r="J853" s="297" t="s">
        <v>13605</v>
      </c>
      <c r="K853" s="298" t="s">
        <v>15855</v>
      </c>
      <c r="L853" s="298" t="s">
        <v>15855</v>
      </c>
      <c r="M853" s="298" t="s">
        <v>15855</v>
      </c>
      <c r="N853" s="298" t="s">
        <v>15855</v>
      </c>
      <c r="O853" s="298" t="s">
        <v>15858</v>
      </c>
      <c r="P853" s="299" t="s">
        <v>15857</v>
      </c>
      <c r="Q853" s="300" t="s">
        <v>15855</v>
      </c>
      <c r="R853" s="182" t="str">
        <f ca="1">IF(ISERROR($V853),"",OFFSET('Smelter Look-up'!$C$4,$V853-4,0)&amp;"")</f>
        <v>Gejiu Kai Meng Industry and Trade LLC</v>
      </c>
      <c r="S853" s="181" t="str">
        <f t="shared" ca="1" si="119"/>
        <v>CN</v>
      </c>
      <c r="T853" s="181" t="str">
        <f ca="1">IF(B853="","",IF(ISERROR(MATCH($J853,SorP!$B$1:$B$6226,0)),"",INDIRECT("'SorP'!$A$"&amp;MATCH($S853&amp;$J853,SorP!C:C,0))))</f>
        <v>CN-YN</v>
      </c>
      <c r="U853" s="201"/>
      <c r="V853" s="226">
        <f>IF(C853="",NA(),IF(OR(C853="Smelter not listed",C853="Smelter not yet identified"),MATCH($B853&amp;$D853,'Smelter Look-up'!$J:$J,0),MATCH($B853&amp;$C853,'Smelter Look-up'!$J:$J,0)))</f>
        <v>447</v>
      </c>
      <c r="X853" s="227">
        <f t="shared" si="120"/>
        <v>0</v>
      </c>
      <c r="AB853" s="228" t="str">
        <f t="shared" si="121"/>
        <v>TinGejiu Kai Meng Industry and Trade LLC</v>
      </c>
    </row>
    <row r="854" spans="1:28" s="227" customFormat="1" ht="94.5">
      <c r="A854" s="301" t="s">
        <v>762</v>
      </c>
      <c r="B854" s="293" t="s">
        <v>1120</v>
      </c>
      <c r="C854" s="294" t="s">
        <v>2128</v>
      </c>
      <c r="D854" s="295" t="s">
        <v>2128</v>
      </c>
      <c r="E854" s="293" t="s">
        <v>1090</v>
      </c>
      <c r="F854" s="293" t="s">
        <v>762</v>
      </c>
      <c r="G854" s="293" t="s">
        <v>15864</v>
      </c>
      <c r="H854" s="302" t="s">
        <v>15880</v>
      </c>
      <c r="I854" s="297" t="s">
        <v>2429</v>
      </c>
      <c r="J854" s="297" t="s">
        <v>16594</v>
      </c>
      <c r="K854" s="298" t="s">
        <v>15855</v>
      </c>
      <c r="L854" s="298" t="s">
        <v>15855</v>
      </c>
      <c r="M854" s="298" t="s">
        <v>15855</v>
      </c>
      <c r="N854" s="298" t="s">
        <v>15896</v>
      </c>
      <c r="O854" s="298" t="s">
        <v>15896</v>
      </c>
      <c r="P854" s="299" t="s">
        <v>15857</v>
      </c>
      <c r="Q854" s="300" t="s">
        <v>15855</v>
      </c>
      <c r="R854" s="182" t="str">
        <f ca="1">IF(ISERROR($V854),"",OFFSET('Smelter Look-up'!$C$4,$V854-4,0)&amp;"")</f>
        <v>Gejiu Non-Ferrous Metal Processing Co., Ltd.</v>
      </c>
      <c r="S854" s="181" t="str">
        <f t="shared" ca="1" si="119"/>
        <v>CN</v>
      </c>
      <c r="T854" s="181" t="str">
        <f ca="1">IF(B854="","",IF(ISERROR(MATCH($J854,SorP!$B$1:$B$6226,0)),"",INDIRECT("'SorP'!$A$"&amp;MATCH($S854&amp;$J854,SorP!C:C,0))))</f>
        <v/>
      </c>
      <c r="U854" s="201"/>
      <c r="V854" s="226">
        <f>IF(C854="",NA(),IF(OR(C854="Smelter not listed",C854="Smelter not yet identified"),MATCH($B854&amp;$D854,'Smelter Look-up'!$J:$J,0),MATCH($B854&amp;$C854,'Smelter Look-up'!$J:$J,0)))</f>
        <v>448</v>
      </c>
      <c r="X854" s="227">
        <f t="shared" si="120"/>
        <v>0</v>
      </c>
      <c r="AB854" s="228" t="str">
        <f t="shared" si="121"/>
        <v>TinGejiu Non-Ferrous Metal Processing Co., Ltd.</v>
      </c>
    </row>
    <row r="855" spans="1:28" s="227" customFormat="1" ht="94.5">
      <c r="A855" s="301" t="s">
        <v>762</v>
      </c>
      <c r="B855" s="293" t="s">
        <v>1120</v>
      </c>
      <c r="C855" s="294" t="s">
        <v>2128</v>
      </c>
      <c r="D855" s="295" t="s">
        <v>2128</v>
      </c>
      <c r="E855" s="293" t="s">
        <v>1090</v>
      </c>
      <c r="F855" s="293" t="s">
        <v>762</v>
      </c>
      <c r="G855" s="293" t="s">
        <v>15865</v>
      </c>
      <c r="H855" s="296" t="s">
        <v>15855</v>
      </c>
      <c r="I855" s="297" t="s">
        <v>2429</v>
      </c>
      <c r="J855" s="297" t="s">
        <v>16594</v>
      </c>
      <c r="K855" s="298" t="s">
        <v>15855</v>
      </c>
      <c r="L855" s="298" t="s">
        <v>15855</v>
      </c>
      <c r="M855" s="298" t="s">
        <v>15855</v>
      </c>
      <c r="N855" s="298" t="s">
        <v>15855</v>
      </c>
      <c r="O855" s="298" t="s">
        <v>15855</v>
      </c>
      <c r="P855" s="299" t="s">
        <v>15857</v>
      </c>
      <c r="Q855" s="300" t="s">
        <v>15855</v>
      </c>
      <c r="R855" s="182" t="str">
        <f ca="1">IF(ISERROR($V855),"",OFFSET('Smelter Look-up'!$C$4,$V855-4,0)&amp;"")</f>
        <v>Gejiu Non-Ferrous Metal Processing Co., Ltd.</v>
      </c>
      <c r="S855" s="181" t="str">
        <f t="shared" ca="1" si="119"/>
        <v>CN</v>
      </c>
      <c r="T855" s="181" t="str">
        <f ca="1">IF(B855="","",IF(ISERROR(MATCH($J855,SorP!$B$1:$B$6226,0)),"",INDIRECT("'SorP'!$A$"&amp;MATCH($S855&amp;$J855,SorP!C:C,0))))</f>
        <v/>
      </c>
      <c r="U855" s="201"/>
      <c r="V855" s="226">
        <f>IF(C855="",NA(),IF(OR(C855="Smelter not listed",C855="Smelter not yet identified"),MATCH($B855&amp;$D855,'Smelter Look-up'!$J:$J,0),MATCH($B855&amp;$C855,'Smelter Look-up'!$J:$J,0)))</f>
        <v>448</v>
      </c>
      <c r="X855" s="227">
        <f t="shared" si="120"/>
        <v>0</v>
      </c>
      <c r="AB855" s="228" t="str">
        <f t="shared" si="121"/>
        <v>TinGejiu Non-Ferrous Metal Processing Co., Ltd.</v>
      </c>
    </row>
    <row r="856" spans="1:28" s="227" customFormat="1" ht="94.5">
      <c r="A856" s="301" t="s">
        <v>762</v>
      </c>
      <c r="B856" s="293" t="s">
        <v>1120</v>
      </c>
      <c r="C856" s="294" t="s">
        <v>2128</v>
      </c>
      <c r="D856" s="295" t="s">
        <v>2128</v>
      </c>
      <c r="E856" s="293" t="s">
        <v>1090</v>
      </c>
      <c r="F856" s="293" t="s">
        <v>762</v>
      </c>
      <c r="G856" s="293" t="s">
        <v>13217</v>
      </c>
      <c r="H856" s="296" t="s">
        <v>15855</v>
      </c>
      <c r="I856" s="297" t="s">
        <v>2429</v>
      </c>
      <c r="J856" s="297" t="s">
        <v>13605</v>
      </c>
      <c r="K856" s="298" t="s">
        <v>15855</v>
      </c>
      <c r="L856" s="298" t="s">
        <v>15855</v>
      </c>
      <c r="M856" s="298" t="s">
        <v>15855</v>
      </c>
      <c r="N856" s="298" t="s">
        <v>15855</v>
      </c>
      <c r="O856" s="298" t="s">
        <v>15855</v>
      </c>
      <c r="P856" s="299" t="s">
        <v>15857</v>
      </c>
      <c r="Q856" s="300" t="s">
        <v>15855</v>
      </c>
      <c r="R856" s="182" t="str">
        <f ca="1">IF(ISERROR($V856),"",OFFSET('Smelter Look-up'!$C$4,$V856-4,0)&amp;"")</f>
        <v>Gejiu Non-Ferrous Metal Processing Co., Ltd.</v>
      </c>
      <c r="S856" s="181" t="str">
        <f t="shared" ca="1" si="119"/>
        <v>CN</v>
      </c>
      <c r="T856" s="181" t="str">
        <f ca="1">IF(B856="","",IF(ISERROR(MATCH($J856,SorP!$B$1:$B$6226,0)),"",INDIRECT("'SorP'!$A$"&amp;MATCH($S856&amp;$J856,SorP!C:C,0))))</f>
        <v>CN-YN</v>
      </c>
      <c r="U856" s="201"/>
      <c r="V856" s="226">
        <f>IF(C856="",NA(),IF(OR(C856="Smelter not listed",C856="Smelter not yet identified"),MATCH($B856&amp;$D856,'Smelter Look-up'!$J:$J,0),MATCH($B856&amp;$C856,'Smelter Look-up'!$J:$J,0)))</f>
        <v>448</v>
      </c>
      <c r="X856" s="227">
        <f t="shared" si="120"/>
        <v>0</v>
      </c>
      <c r="AB856" s="228" t="str">
        <f t="shared" si="121"/>
        <v>TinGejiu Non-Ferrous Metal Processing Co., Ltd.</v>
      </c>
    </row>
    <row r="857" spans="1:28" s="227" customFormat="1" ht="94.5">
      <c r="A857" s="301" t="s">
        <v>762</v>
      </c>
      <c r="B857" s="293" t="s">
        <v>1120</v>
      </c>
      <c r="C857" s="294" t="s">
        <v>2128</v>
      </c>
      <c r="D857" s="295" t="s">
        <v>2128</v>
      </c>
      <c r="E857" s="293" t="s">
        <v>1090</v>
      </c>
      <c r="F857" s="293" t="s">
        <v>762</v>
      </c>
      <c r="G857" s="293" t="s">
        <v>13217</v>
      </c>
      <c r="H857" s="296" t="s">
        <v>15855</v>
      </c>
      <c r="I857" s="297" t="s">
        <v>2429</v>
      </c>
      <c r="J857" s="297" t="s">
        <v>13605</v>
      </c>
      <c r="K857" s="298" t="s">
        <v>15855</v>
      </c>
      <c r="L857" s="298" t="s">
        <v>15855</v>
      </c>
      <c r="M857" s="298" t="s">
        <v>15855</v>
      </c>
      <c r="N857" s="298" t="s">
        <v>15855</v>
      </c>
      <c r="O857" s="298" t="s">
        <v>15855</v>
      </c>
      <c r="P857" s="299" t="s">
        <v>15857</v>
      </c>
      <c r="Q857" s="300" t="s">
        <v>16531</v>
      </c>
      <c r="R857" s="182" t="str">
        <f ca="1">IF(ISERROR($V857),"",OFFSET('Smelter Look-up'!$C$4,$V857-4,0)&amp;"")</f>
        <v>Gejiu Non-Ferrous Metal Processing Co., Ltd.</v>
      </c>
      <c r="S857" s="181" t="str">
        <f t="shared" ca="1" si="119"/>
        <v>CN</v>
      </c>
      <c r="T857" s="181" t="str">
        <f ca="1">IF(B857="","",IF(ISERROR(MATCH($J857,SorP!$B$1:$B$6226,0)),"",INDIRECT("'SorP'!$A$"&amp;MATCH($S857&amp;$J857,SorP!C:C,0))))</f>
        <v>CN-YN</v>
      </c>
      <c r="U857" s="201"/>
      <c r="V857" s="226">
        <f>IF(C857="",NA(),IF(OR(C857="Smelter not listed",C857="Smelter not yet identified"),MATCH($B857&amp;$D857,'Smelter Look-up'!$J:$J,0),MATCH($B857&amp;$C857,'Smelter Look-up'!$J:$J,0)))</f>
        <v>448</v>
      </c>
      <c r="X857" s="227">
        <f t="shared" si="120"/>
        <v>0</v>
      </c>
      <c r="AB857" s="228" t="str">
        <f t="shared" si="121"/>
        <v>TinGejiu Non-Ferrous Metal Processing Co., Ltd.</v>
      </c>
    </row>
    <row r="858" spans="1:28" s="227" customFormat="1" ht="94.5">
      <c r="A858" s="301" t="s">
        <v>762</v>
      </c>
      <c r="B858" s="293" t="s">
        <v>1120</v>
      </c>
      <c r="C858" s="294" t="s">
        <v>2128</v>
      </c>
      <c r="D858" s="295" t="s">
        <v>2128</v>
      </c>
      <c r="E858" s="293" t="s">
        <v>1090</v>
      </c>
      <c r="F858" s="293" t="s">
        <v>762</v>
      </c>
      <c r="G858" s="293" t="s">
        <v>13217</v>
      </c>
      <c r="H858" s="296" t="s">
        <v>15855</v>
      </c>
      <c r="I858" s="297" t="s">
        <v>2429</v>
      </c>
      <c r="J858" s="297" t="s">
        <v>13605</v>
      </c>
      <c r="K858" s="298" t="s">
        <v>15855</v>
      </c>
      <c r="L858" s="298" t="s">
        <v>15855</v>
      </c>
      <c r="M858" s="298" t="s">
        <v>15855</v>
      </c>
      <c r="N858" s="298" t="s">
        <v>15855</v>
      </c>
      <c r="O858" s="298" t="s">
        <v>15855</v>
      </c>
      <c r="P858" s="299" t="s">
        <v>15875</v>
      </c>
      <c r="Q858" s="300" t="s">
        <v>15855</v>
      </c>
      <c r="R858" s="182" t="str">
        <f ca="1">IF(ISERROR($V858),"",OFFSET('Smelter Look-up'!$C$4,$V858-4,0)&amp;"")</f>
        <v>Gejiu Non-Ferrous Metal Processing Co., Ltd.</v>
      </c>
      <c r="S858" s="181" t="str">
        <f t="shared" ca="1" si="119"/>
        <v>CN</v>
      </c>
      <c r="T858" s="181" t="str">
        <f ca="1">IF(B858="","",IF(ISERROR(MATCH($J858,SorP!$B$1:$B$6226,0)),"",INDIRECT("'SorP'!$A$"&amp;MATCH($S858&amp;$J858,SorP!C:C,0))))</f>
        <v>CN-YN</v>
      </c>
      <c r="U858" s="201"/>
      <c r="V858" s="226">
        <f>IF(C858="",NA(),IF(OR(C858="Smelter not listed",C858="Smelter not yet identified"),MATCH($B858&amp;$D858,'Smelter Look-up'!$J:$J,0),MATCH($B858&amp;$C858,'Smelter Look-up'!$J:$J,0)))</f>
        <v>448</v>
      </c>
      <c r="X858" s="227">
        <f t="shared" si="120"/>
        <v>0</v>
      </c>
      <c r="AB858" s="228" t="str">
        <f t="shared" si="121"/>
        <v>TinGejiu Non-Ferrous Metal Processing Co., Ltd.</v>
      </c>
    </row>
    <row r="859" spans="1:28" s="227" customFormat="1" ht="94.5">
      <c r="A859" s="301" t="s">
        <v>762</v>
      </c>
      <c r="B859" s="293" t="s">
        <v>1120</v>
      </c>
      <c r="C859" s="294" t="s">
        <v>2128</v>
      </c>
      <c r="D859" s="295" t="s">
        <v>2128</v>
      </c>
      <c r="E859" s="293" t="s">
        <v>1090</v>
      </c>
      <c r="F859" s="293" t="s">
        <v>762</v>
      </c>
      <c r="G859" s="293" t="s">
        <v>13217</v>
      </c>
      <c r="H859" s="296" t="s">
        <v>15855</v>
      </c>
      <c r="I859" s="297" t="s">
        <v>2429</v>
      </c>
      <c r="J859" s="297" t="s">
        <v>13605</v>
      </c>
      <c r="K859" s="298" t="s">
        <v>15855</v>
      </c>
      <c r="L859" s="298" t="s">
        <v>15855</v>
      </c>
      <c r="M859" s="298" t="s">
        <v>15855</v>
      </c>
      <c r="N859" s="298" t="s">
        <v>15855</v>
      </c>
      <c r="O859" s="298" t="s">
        <v>16125</v>
      </c>
      <c r="P859" s="299" t="s">
        <v>15857</v>
      </c>
      <c r="Q859" s="300" t="s">
        <v>15855</v>
      </c>
      <c r="R859" s="182" t="str">
        <f ca="1">IF(ISERROR($V859),"",OFFSET('Smelter Look-up'!$C$4,$V859-4,0)&amp;"")</f>
        <v>Gejiu Non-Ferrous Metal Processing Co., Ltd.</v>
      </c>
      <c r="S859" s="181" t="str">
        <f t="shared" ca="1" si="119"/>
        <v>CN</v>
      </c>
      <c r="T859" s="181" t="str">
        <f ca="1">IF(B859="","",IF(ISERROR(MATCH($J859,SorP!$B$1:$B$6226,0)),"",INDIRECT("'SorP'!$A$"&amp;MATCH($S859&amp;$J859,SorP!C:C,0))))</f>
        <v>CN-YN</v>
      </c>
      <c r="U859" s="201"/>
      <c r="V859" s="226">
        <f>IF(C859="",NA(),IF(OR(C859="Smelter not listed",C859="Smelter not yet identified"),MATCH($B859&amp;$D859,'Smelter Look-up'!$J:$J,0),MATCH($B859&amp;$C859,'Smelter Look-up'!$J:$J,0)))</f>
        <v>448</v>
      </c>
      <c r="X859" s="227">
        <f t="shared" si="120"/>
        <v>0</v>
      </c>
      <c r="AB859" s="228" t="str">
        <f t="shared" si="121"/>
        <v>TinGejiu Non-Ferrous Metal Processing Co., Ltd.</v>
      </c>
    </row>
    <row r="860" spans="1:28" s="227" customFormat="1" ht="94.5">
      <c r="A860" s="301" t="s">
        <v>762</v>
      </c>
      <c r="B860" s="293" t="s">
        <v>1120</v>
      </c>
      <c r="C860" s="294" t="s">
        <v>2128</v>
      </c>
      <c r="D860" s="295" t="s">
        <v>2128</v>
      </c>
      <c r="E860" s="293" t="s">
        <v>1090</v>
      </c>
      <c r="F860" s="293" t="s">
        <v>762</v>
      </c>
      <c r="G860" s="293" t="s">
        <v>13217</v>
      </c>
      <c r="H860" s="296" t="s">
        <v>15855</v>
      </c>
      <c r="I860" s="297" t="s">
        <v>2429</v>
      </c>
      <c r="J860" s="297" t="s">
        <v>13605</v>
      </c>
      <c r="K860" s="298" t="s">
        <v>16595</v>
      </c>
      <c r="L860" s="298" t="s">
        <v>16596</v>
      </c>
      <c r="M860" s="298" t="s">
        <v>15869</v>
      </c>
      <c r="N860" s="298" t="s">
        <v>16597</v>
      </c>
      <c r="O860" s="298" t="s">
        <v>16598</v>
      </c>
      <c r="P860" s="299" t="s">
        <v>15857</v>
      </c>
      <c r="Q860" s="300" t="s">
        <v>15855</v>
      </c>
      <c r="R860" s="182" t="str">
        <f ca="1">IF(ISERROR($V860),"",OFFSET('Smelter Look-up'!$C$4,$V860-4,0)&amp;"")</f>
        <v>Gejiu Non-Ferrous Metal Processing Co., Ltd.</v>
      </c>
      <c r="S860" s="181" t="str">
        <f t="shared" ref="S860:S890" ca="1" si="122">IF(B860="","",IF(ISERROR(MATCH($E860,CL,0)),"Unknown",INDIRECT("'C'!$A$"&amp;MATCH($E860,CL,0)+1)))</f>
        <v>CN</v>
      </c>
      <c r="T860" s="181" t="str">
        <f ca="1">IF(B860="","",IF(ISERROR(MATCH($J860,SorP!$B$1:$B$6226,0)),"",INDIRECT("'SorP'!$A$"&amp;MATCH($S860&amp;$J860,SorP!C:C,0))))</f>
        <v>CN-YN</v>
      </c>
      <c r="U860" s="201"/>
      <c r="V860" s="226">
        <f>IF(C860="",NA(),IF(OR(C860="Smelter not listed",C860="Smelter not yet identified"),MATCH($B860&amp;$D860,'Smelter Look-up'!$J:$J,0),MATCH($B860&amp;$C860,'Smelter Look-up'!$J:$J,0)))</f>
        <v>448</v>
      </c>
      <c r="X860" s="227">
        <f t="shared" ref="X860:X890" si="123">IF(AND(C860="Smelter not listed",OR(LEN(D860)=0,LEN(E860)=0)),1,0)</f>
        <v>0</v>
      </c>
      <c r="AB860" s="228" t="str">
        <f t="shared" ref="AB860:AB890" si="124">B860&amp;C860</f>
        <v>TinGejiu Non-Ferrous Metal Processing Co., Ltd.</v>
      </c>
    </row>
    <row r="861" spans="1:28" s="227" customFormat="1" ht="94.5">
      <c r="A861" s="301" t="s">
        <v>762</v>
      </c>
      <c r="B861" s="293" t="s">
        <v>1120</v>
      </c>
      <c r="C861" s="294" t="s">
        <v>2128</v>
      </c>
      <c r="D861" s="295" t="s">
        <v>2128</v>
      </c>
      <c r="E861" s="293" t="s">
        <v>1090</v>
      </c>
      <c r="F861" s="293" t="s">
        <v>762</v>
      </c>
      <c r="G861" s="293" t="s">
        <v>13217</v>
      </c>
      <c r="H861" s="296" t="s">
        <v>15855</v>
      </c>
      <c r="I861" s="297" t="s">
        <v>2429</v>
      </c>
      <c r="J861" s="297" t="s">
        <v>13605</v>
      </c>
      <c r="K861" s="298" t="s">
        <v>16599</v>
      </c>
      <c r="L861" s="298" t="s">
        <v>16600</v>
      </c>
      <c r="M861" s="298" t="s">
        <v>16601</v>
      </c>
      <c r="N861" s="298" t="s">
        <v>16602</v>
      </c>
      <c r="O861" s="298" t="s">
        <v>16603</v>
      </c>
      <c r="P861" s="299" t="s">
        <v>15857</v>
      </c>
      <c r="Q861" s="300" t="s">
        <v>15855</v>
      </c>
      <c r="R861" s="182" t="str">
        <f ca="1">IF(ISERROR($V861),"",OFFSET('Smelter Look-up'!$C$4,$V861-4,0)&amp;"")</f>
        <v>Gejiu Non-Ferrous Metal Processing Co., Ltd.</v>
      </c>
      <c r="S861" s="181" t="str">
        <f t="shared" ca="1" si="122"/>
        <v>CN</v>
      </c>
      <c r="T861" s="181" t="str">
        <f ca="1">IF(B861="","",IF(ISERROR(MATCH($J861,SorP!$B$1:$B$6226,0)),"",INDIRECT("'SorP'!$A$"&amp;MATCH($S861&amp;$J861,SorP!C:C,0))))</f>
        <v>CN-YN</v>
      </c>
      <c r="U861" s="201"/>
      <c r="V861" s="226">
        <f>IF(C861="",NA(),IF(OR(C861="Smelter not listed",C861="Smelter not yet identified"),MATCH($B861&amp;$D861,'Smelter Look-up'!$J:$J,0),MATCH($B861&amp;$C861,'Smelter Look-up'!$J:$J,0)))</f>
        <v>448</v>
      </c>
      <c r="X861" s="227">
        <f t="shared" si="123"/>
        <v>0</v>
      </c>
      <c r="AB861" s="228" t="str">
        <f t="shared" si="124"/>
        <v>TinGejiu Non-Ferrous Metal Processing Co., Ltd.</v>
      </c>
    </row>
    <row r="862" spans="1:28" s="227" customFormat="1" ht="94.5">
      <c r="A862" s="301" t="s">
        <v>762</v>
      </c>
      <c r="B862" s="293" t="s">
        <v>1120</v>
      </c>
      <c r="C862" s="294" t="s">
        <v>2128</v>
      </c>
      <c r="D862" s="295" t="s">
        <v>2128</v>
      </c>
      <c r="E862" s="293" t="s">
        <v>1090</v>
      </c>
      <c r="F862" s="293" t="s">
        <v>762</v>
      </c>
      <c r="G862" s="293" t="s">
        <v>13217</v>
      </c>
      <c r="H862" s="296" t="s">
        <v>15855</v>
      </c>
      <c r="I862" s="297" t="s">
        <v>2429</v>
      </c>
      <c r="J862" s="297" t="s">
        <v>13605</v>
      </c>
      <c r="K862" s="298" t="s">
        <v>16599</v>
      </c>
      <c r="L862" s="298" t="s">
        <v>16600</v>
      </c>
      <c r="M862" s="298" t="s">
        <v>16601</v>
      </c>
      <c r="N862" s="298" t="s">
        <v>16602</v>
      </c>
      <c r="O862" s="298" t="s">
        <v>16603</v>
      </c>
      <c r="P862" s="299" t="s">
        <v>15857</v>
      </c>
      <c r="Q862" s="300" t="s">
        <v>16203</v>
      </c>
      <c r="R862" s="182" t="str">
        <f ca="1">IF(ISERROR($V862),"",OFFSET('Smelter Look-up'!$C$4,$V862-4,0)&amp;"")</f>
        <v>Gejiu Non-Ferrous Metal Processing Co., Ltd.</v>
      </c>
      <c r="S862" s="181" t="str">
        <f t="shared" ca="1" si="122"/>
        <v>CN</v>
      </c>
      <c r="T862" s="181" t="str">
        <f ca="1">IF(B862="","",IF(ISERROR(MATCH($J862,SorP!$B$1:$B$6226,0)),"",INDIRECT("'SorP'!$A$"&amp;MATCH($S862&amp;$J862,SorP!C:C,0))))</f>
        <v>CN-YN</v>
      </c>
      <c r="U862" s="201"/>
      <c r="V862" s="226">
        <f>IF(C862="",NA(),IF(OR(C862="Smelter not listed",C862="Smelter not yet identified"),MATCH($B862&amp;$D862,'Smelter Look-up'!$J:$J,0),MATCH($B862&amp;$C862,'Smelter Look-up'!$J:$J,0)))</f>
        <v>448</v>
      </c>
      <c r="X862" s="227">
        <f t="shared" si="123"/>
        <v>0</v>
      </c>
      <c r="AB862" s="228" t="str">
        <f t="shared" si="124"/>
        <v>TinGejiu Non-Ferrous Metal Processing Co., Ltd.</v>
      </c>
    </row>
    <row r="863" spans="1:28" s="227" customFormat="1" ht="94.5">
      <c r="A863" s="301" t="s">
        <v>762</v>
      </c>
      <c r="B863" s="293" t="s">
        <v>1120</v>
      </c>
      <c r="C863" s="294" t="s">
        <v>2128</v>
      </c>
      <c r="D863" s="295" t="s">
        <v>2128</v>
      </c>
      <c r="E863" s="293" t="s">
        <v>1090</v>
      </c>
      <c r="F863" s="293" t="s">
        <v>762</v>
      </c>
      <c r="G863" s="293" t="s">
        <v>13217</v>
      </c>
      <c r="H863" s="302" t="s">
        <v>15880</v>
      </c>
      <c r="I863" s="297" t="s">
        <v>2429</v>
      </c>
      <c r="J863" s="297" t="s">
        <v>16594</v>
      </c>
      <c r="K863" s="298" t="s">
        <v>15855</v>
      </c>
      <c r="L863" s="298" t="s">
        <v>15855</v>
      </c>
      <c r="M863" s="298" t="s">
        <v>15855</v>
      </c>
      <c r="N863" s="298" t="s">
        <v>15855</v>
      </c>
      <c r="O863" s="298" t="s">
        <v>15855</v>
      </c>
      <c r="P863" s="299" t="s">
        <v>15857</v>
      </c>
      <c r="Q863" s="300" t="s">
        <v>15855</v>
      </c>
      <c r="R863" s="182" t="str">
        <f ca="1">IF(ISERROR($V863),"",OFFSET('Smelter Look-up'!$C$4,$V863-4,0)&amp;"")</f>
        <v>Gejiu Non-Ferrous Metal Processing Co., Ltd.</v>
      </c>
      <c r="S863" s="181" t="str">
        <f t="shared" ca="1" si="122"/>
        <v>CN</v>
      </c>
      <c r="T863" s="181" t="str">
        <f ca="1">IF(B863="","",IF(ISERROR(MATCH($J863,SorP!$B$1:$B$6226,0)),"",INDIRECT("'SorP'!$A$"&amp;MATCH($S863&amp;$J863,SorP!C:C,0))))</f>
        <v/>
      </c>
      <c r="U863" s="201"/>
      <c r="V863" s="226">
        <f>IF(C863="",NA(),IF(OR(C863="Smelter not listed",C863="Smelter not yet identified"),MATCH($B863&amp;$D863,'Smelter Look-up'!$J:$J,0),MATCH($B863&amp;$C863,'Smelter Look-up'!$J:$J,0)))</f>
        <v>448</v>
      </c>
      <c r="X863" s="227">
        <f t="shared" si="123"/>
        <v>0</v>
      </c>
      <c r="AB863" s="228" t="str">
        <f t="shared" si="124"/>
        <v>TinGejiu Non-Ferrous Metal Processing Co., Ltd.</v>
      </c>
    </row>
    <row r="864" spans="1:28" s="227" customFormat="1" ht="94.5">
      <c r="A864" s="301" t="s">
        <v>762</v>
      </c>
      <c r="B864" s="293" t="s">
        <v>1120</v>
      </c>
      <c r="C864" s="294" t="s">
        <v>2128</v>
      </c>
      <c r="D864" s="295" t="s">
        <v>2128</v>
      </c>
      <c r="E864" s="293" t="s">
        <v>1090</v>
      </c>
      <c r="F864" s="293" t="s">
        <v>762</v>
      </c>
      <c r="G864" s="293" t="s">
        <v>13217</v>
      </c>
      <c r="H864" s="302" t="s">
        <v>15880</v>
      </c>
      <c r="I864" s="297" t="s">
        <v>2429</v>
      </c>
      <c r="J864" s="297" t="s">
        <v>13605</v>
      </c>
      <c r="K864" s="298" t="s">
        <v>15855</v>
      </c>
      <c r="L864" s="298" t="s">
        <v>15855</v>
      </c>
      <c r="M864" s="298" t="s">
        <v>15855</v>
      </c>
      <c r="N864" s="298" t="s">
        <v>15855</v>
      </c>
      <c r="O864" s="298" t="s">
        <v>15855</v>
      </c>
      <c r="P864" s="299" t="s">
        <v>15857</v>
      </c>
      <c r="Q864" s="300" t="s">
        <v>15855</v>
      </c>
      <c r="R864" s="182" t="str">
        <f ca="1">IF(ISERROR($V864),"",OFFSET('Smelter Look-up'!$C$4,$V864-4,0)&amp;"")</f>
        <v>Gejiu Non-Ferrous Metal Processing Co., Ltd.</v>
      </c>
      <c r="S864" s="181" t="str">
        <f t="shared" ca="1" si="122"/>
        <v>CN</v>
      </c>
      <c r="T864" s="181" t="str">
        <f ca="1">IF(B864="","",IF(ISERROR(MATCH($J864,SorP!$B$1:$B$6226,0)),"",INDIRECT("'SorP'!$A$"&amp;MATCH($S864&amp;$J864,SorP!C:C,0))))</f>
        <v>CN-YN</v>
      </c>
      <c r="U864" s="201"/>
      <c r="V864" s="226">
        <f>IF(C864="",NA(),IF(OR(C864="Smelter not listed",C864="Smelter not yet identified"),MATCH($B864&amp;$D864,'Smelter Look-up'!$J:$J,0),MATCH($B864&amp;$C864,'Smelter Look-up'!$J:$J,0)))</f>
        <v>448</v>
      </c>
      <c r="X864" s="227">
        <f t="shared" si="123"/>
        <v>0</v>
      </c>
      <c r="AB864" s="228" t="str">
        <f t="shared" si="124"/>
        <v>TinGejiu Non-Ferrous Metal Processing Co., Ltd.</v>
      </c>
    </row>
    <row r="865" spans="1:28" s="227" customFormat="1" ht="94.5">
      <c r="A865" s="301" t="s">
        <v>762</v>
      </c>
      <c r="B865" s="293" t="s">
        <v>1120</v>
      </c>
      <c r="C865" s="294" t="s">
        <v>2128</v>
      </c>
      <c r="D865" s="295" t="s">
        <v>2128</v>
      </c>
      <c r="E865" s="293" t="s">
        <v>1090</v>
      </c>
      <c r="F865" s="293" t="s">
        <v>762</v>
      </c>
      <c r="G865" s="293" t="s">
        <v>13217</v>
      </c>
      <c r="H865" s="302" t="s">
        <v>15880</v>
      </c>
      <c r="I865" s="297" t="s">
        <v>2429</v>
      </c>
      <c r="J865" s="297" t="s">
        <v>13605</v>
      </c>
      <c r="K865" s="298" t="s">
        <v>16604</v>
      </c>
      <c r="L865" s="298" t="s">
        <v>15881</v>
      </c>
      <c r="M865" s="298" t="s">
        <v>12593</v>
      </c>
      <c r="N865" s="298" t="s">
        <v>15881</v>
      </c>
      <c r="O865" s="298" t="s">
        <v>15881</v>
      </c>
      <c r="P865" s="299" t="s">
        <v>15857</v>
      </c>
      <c r="Q865" s="300" t="s">
        <v>15855</v>
      </c>
      <c r="R865" s="182" t="str">
        <f ca="1">IF(ISERROR($V865),"",OFFSET('Smelter Look-up'!$C$4,$V865-4,0)&amp;"")</f>
        <v>Gejiu Non-Ferrous Metal Processing Co., Ltd.</v>
      </c>
      <c r="S865" s="181" t="str">
        <f t="shared" ca="1" si="122"/>
        <v>CN</v>
      </c>
      <c r="T865" s="181" t="str">
        <f ca="1">IF(B865="","",IF(ISERROR(MATCH($J865,SorP!$B$1:$B$6226,0)),"",INDIRECT("'SorP'!$A$"&amp;MATCH($S865&amp;$J865,SorP!C:C,0))))</f>
        <v>CN-YN</v>
      </c>
      <c r="U865" s="201"/>
      <c r="V865" s="226">
        <f>IF(C865="",NA(),IF(OR(C865="Smelter not listed",C865="Smelter not yet identified"),MATCH($B865&amp;$D865,'Smelter Look-up'!$J:$J,0),MATCH($B865&amp;$C865,'Smelter Look-up'!$J:$J,0)))</f>
        <v>448</v>
      </c>
      <c r="X865" s="227">
        <f t="shared" si="123"/>
        <v>0</v>
      </c>
      <c r="AB865" s="228" t="str">
        <f t="shared" si="124"/>
        <v>TinGejiu Non-Ferrous Metal Processing Co., Ltd.</v>
      </c>
    </row>
    <row r="866" spans="1:28" s="227" customFormat="1" ht="94.5">
      <c r="A866" s="301" t="s">
        <v>762</v>
      </c>
      <c r="B866" s="293" t="s">
        <v>1120</v>
      </c>
      <c r="C866" s="294" t="s">
        <v>2128</v>
      </c>
      <c r="D866" s="295" t="s">
        <v>2128</v>
      </c>
      <c r="E866" s="293" t="s">
        <v>1090</v>
      </c>
      <c r="F866" s="293" t="s">
        <v>762</v>
      </c>
      <c r="G866" s="293" t="s">
        <v>13217</v>
      </c>
      <c r="H866" s="296" t="s">
        <v>16605</v>
      </c>
      <c r="I866" s="297" t="s">
        <v>2429</v>
      </c>
      <c r="J866" s="297" t="s">
        <v>16594</v>
      </c>
      <c r="K866" s="298" t="s">
        <v>15904</v>
      </c>
      <c r="L866" s="298" t="s">
        <v>16606</v>
      </c>
      <c r="M866" s="298" t="s">
        <v>15906</v>
      </c>
      <c r="N866" s="298" t="s">
        <v>16607</v>
      </c>
      <c r="O866" s="298" t="s">
        <v>15989</v>
      </c>
      <c r="P866" s="299" t="s">
        <v>15857</v>
      </c>
      <c r="Q866" s="300" t="s">
        <v>15855</v>
      </c>
      <c r="R866" s="182" t="str">
        <f ca="1">IF(ISERROR($V866),"",OFFSET('Smelter Look-up'!$C$4,$V866-4,0)&amp;"")</f>
        <v>Gejiu Non-Ferrous Metal Processing Co., Ltd.</v>
      </c>
      <c r="S866" s="181" t="str">
        <f t="shared" ca="1" si="122"/>
        <v>CN</v>
      </c>
      <c r="T866" s="181" t="str">
        <f ca="1">IF(B866="","",IF(ISERROR(MATCH($J866,SorP!$B$1:$B$6226,0)),"",INDIRECT("'SorP'!$A$"&amp;MATCH($S866&amp;$J866,SorP!C:C,0))))</f>
        <v/>
      </c>
      <c r="U866" s="201"/>
      <c r="V866" s="226">
        <f>IF(C866="",NA(),IF(OR(C866="Smelter not listed",C866="Smelter not yet identified"),MATCH($B866&amp;$D866,'Smelter Look-up'!$J:$J,0),MATCH($B866&amp;$C866,'Smelter Look-up'!$J:$J,0)))</f>
        <v>448</v>
      </c>
      <c r="X866" s="227">
        <f t="shared" si="123"/>
        <v>0</v>
      </c>
      <c r="AB866" s="228" t="str">
        <f t="shared" si="124"/>
        <v>TinGejiu Non-Ferrous Metal Processing Co., Ltd.</v>
      </c>
    </row>
    <row r="867" spans="1:28" s="227" customFormat="1" ht="94.5">
      <c r="A867" s="301" t="s">
        <v>762</v>
      </c>
      <c r="B867" s="293" t="s">
        <v>1120</v>
      </c>
      <c r="C867" s="294" t="s">
        <v>2128</v>
      </c>
      <c r="D867" s="295" t="s">
        <v>2128</v>
      </c>
      <c r="E867" s="293" t="s">
        <v>1090</v>
      </c>
      <c r="F867" s="293" t="s">
        <v>762</v>
      </c>
      <c r="G867" s="293" t="s">
        <v>13217</v>
      </c>
      <c r="H867" s="296" t="s">
        <v>16608</v>
      </c>
      <c r="I867" s="297" t="s">
        <v>2429</v>
      </c>
      <c r="J867" s="297" t="s">
        <v>13605</v>
      </c>
      <c r="K867" s="298" t="s">
        <v>16609</v>
      </c>
      <c r="L867" s="298" t="s">
        <v>16596</v>
      </c>
      <c r="M867" s="298" t="s">
        <v>15855</v>
      </c>
      <c r="N867" s="298" t="s">
        <v>16610</v>
      </c>
      <c r="O867" s="298" t="s">
        <v>15989</v>
      </c>
      <c r="P867" s="299" t="s">
        <v>15857</v>
      </c>
      <c r="Q867" s="300" t="s">
        <v>16611</v>
      </c>
      <c r="R867" s="182" t="str">
        <f ca="1">IF(ISERROR($V867),"",OFFSET('Smelter Look-up'!$C$4,$V867-4,0)&amp;"")</f>
        <v>Gejiu Non-Ferrous Metal Processing Co., Ltd.</v>
      </c>
      <c r="S867" s="181" t="str">
        <f t="shared" ca="1" si="122"/>
        <v>CN</v>
      </c>
      <c r="T867" s="181" t="str">
        <f ca="1">IF(B867="","",IF(ISERROR(MATCH($J867,SorP!$B$1:$B$6226,0)),"",INDIRECT("'SorP'!$A$"&amp;MATCH($S867&amp;$J867,SorP!C:C,0))))</f>
        <v>CN-YN</v>
      </c>
      <c r="U867" s="201"/>
      <c r="V867" s="226">
        <f>IF(C867="",NA(),IF(OR(C867="Smelter not listed",C867="Smelter not yet identified"),MATCH($B867&amp;$D867,'Smelter Look-up'!$J:$J,0),MATCH($B867&amp;$C867,'Smelter Look-up'!$J:$J,0)))</f>
        <v>448</v>
      </c>
      <c r="X867" s="227">
        <f t="shared" si="123"/>
        <v>0</v>
      </c>
      <c r="AB867" s="228" t="str">
        <f t="shared" si="124"/>
        <v>TinGejiu Non-Ferrous Metal Processing Co., Ltd.</v>
      </c>
    </row>
    <row r="868" spans="1:28" s="227" customFormat="1" ht="94.5">
      <c r="A868" s="301" t="s">
        <v>762</v>
      </c>
      <c r="B868" s="293" t="s">
        <v>1120</v>
      </c>
      <c r="C868" s="294" t="s">
        <v>2128</v>
      </c>
      <c r="D868" s="295" t="s">
        <v>2128</v>
      </c>
      <c r="E868" s="293" t="s">
        <v>1090</v>
      </c>
      <c r="F868" s="293" t="s">
        <v>762</v>
      </c>
      <c r="G868" s="293" t="s">
        <v>13217</v>
      </c>
      <c r="H868" s="296" t="s">
        <v>16612</v>
      </c>
      <c r="I868" s="297" t="s">
        <v>2429</v>
      </c>
      <c r="J868" s="297" t="s">
        <v>13605</v>
      </c>
      <c r="K868" s="298" t="s">
        <v>16613</v>
      </c>
      <c r="L868" s="298" t="s">
        <v>15855</v>
      </c>
      <c r="M868" s="298" t="s">
        <v>15855</v>
      </c>
      <c r="N868" s="298" t="s">
        <v>15855</v>
      </c>
      <c r="O868" s="298" t="s">
        <v>1090</v>
      </c>
      <c r="P868" s="299" t="s">
        <v>15857</v>
      </c>
      <c r="Q868" s="300" t="s">
        <v>15855</v>
      </c>
      <c r="R868" s="182" t="str">
        <f ca="1">IF(ISERROR($V868),"",OFFSET('Smelter Look-up'!$C$4,$V868-4,0)&amp;"")</f>
        <v>Gejiu Non-Ferrous Metal Processing Co., Ltd.</v>
      </c>
      <c r="S868" s="181" t="str">
        <f t="shared" ca="1" si="122"/>
        <v>CN</v>
      </c>
      <c r="T868" s="181" t="str">
        <f ca="1">IF(B868="","",IF(ISERROR(MATCH($J868,SorP!$B$1:$B$6226,0)),"",INDIRECT("'SorP'!$A$"&amp;MATCH($S868&amp;$J868,SorP!C:C,0))))</f>
        <v>CN-YN</v>
      </c>
      <c r="U868" s="201"/>
      <c r="V868" s="226">
        <f>IF(C868="",NA(),IF(OR(C868="Smelter not listed",C868="Smelter not yet identified"),MATCH($B868&amp;$D868,'Smelter Look-up'!$J:$J,0),MATCH($B868&amp;$C868,'Smelter Look-up'!$J:$J,0)))</f>
        <v>448</v>
      </c>
      <c r="X868" s="227">
        <f t="shared" si="123"/>
        <v>0</v>
      </c>
      <c r="AB868" s="228" t="str">
        <f t="shared" si="124"/>
        <v>TinGejiu Non-Ferrous Metal Processing Co., Ltd.</v>
      </c>
    </row>
    <row r="869" spans="1:28" s="227" customFormat="1" ht="94.5">
      <c r="A869" s="301" t="s">
        <v>1785</v>
      </c>
      <c r="B869" s="293" t="s">
        <v>1120</v>
      </c>
      <c r="C869" s="294" t="s">
        <v>1784</v>
      </c>
      <c r="D869" s="295" t="s">
        <v>1784</v>
      </c>
      <c r="E869" s="293" t="s">
        <v>1090</v>
      </c>
      <c r="F869" s="293" t="s">
        <v>1785</v>
      </c>
      <c r="G869" s="293" t="s">
        <v>13217</v>
      </c>
      <c r="H869" s="296" t="s">
        <v>15855</v>
      </c>
      <c r="I869" s="297" t="s">
        <v>2429</v>
      </c>
      <c r="J869" s="297" t="s">
        <v>13605</v>
      </c>
      <c r="K869" s="298" t="s">
        <v>15855</v>
      </c>
      <c r="L869" s="298" t="s">
        <v>15855</v>
      </c>
      <c r="M869" s="298" t="s">
        <v>15855</v>
      </c>
      <c r="N869" s="298" t="s">
        <v>15855</v>
      </c>
      <c r="O869" s="298" t="s">
        <v>15855</v>
      </c>
      <c r="P869" s="299" t="s">
        <v>15857</v>
      </c>
      <c r="Q869" s="300" t="s">
        <v>15855</v>
      </c>
      <c r="R869" s="182" t="str">
        <f ca="1">IF(ISERROR($V869),"",OFFSET('Smelter Look-up'!$C$4,$V869-4,0)&amp;"")</f>
        <v>Gejiu Yunxin Nonferrous Electrolysis Co., Ltd.</v>
      </c>
      <c r="S869" s="181" t="str">
        <f t="shared" ca="1" si="122"/>
        <v>CN</v>
      </c>
      <c r="T869" s="181" t="str">
        <f ca="1">IF(B869="","",IF(ISERROR(MATCH($J869,SorP!$B$1:$B$6226,0)),"",INDIRECT("'SorP'!$A$"&amp;MATCH($S869&amp;$J869,SorP!C:C,0))))</f>
        <v>CN-YN</v>
      </c>
      <c r="U869" s="201"/>
      <c r="V869" s="226">
        <f>IF(C869="",NA(),IF(OR(C869="Smelter not listed",C869="Smelter not yet identified"),MATCH($B869&amp;$D869,'Smelter Look-up'!$J:$J,0),MATCH($B869&amp;$C869,'Smelter Look-up'!$J:$J,0)))</f>
        <v>449</v>
      </c>
      <c r="X869" s="227">
        <f t="shared" si="123"/>
        <v>0</v>
      </c>
      <c r="AB869" s="228" t="str">
        <f t="shared" si="124"/>
        <v>TinGejiu Yunxin Nonferrous Electrolysis Co., Ltd.</v>
      </c>
    </row>
    <row r="870" spans="1:28" s="227" customFormat="1" ht="94.5">
      <c r="A870" s="301" t="s">
        <v>1785</v>
      </c>
      <c r="B870" s="293" t="s">
        <v>1120</v>
      </c>
      <c r="C870" s="294" t="s">
        <v>1784</v>
      </c>
      <c r="D870" s="295" t="s">
        <v>1784</v>
      </c>
      <c r="E870" s="293" t="s">
        <v>1090</v>
      </c>
      <c r="F870" s="293" t="s">
        <v>1785</v>
      </c>
      <c r="G870" s="293" t="s">
        <v>13217</v>
      </c>
      <c r="H870" s="296" t="s">
        <v>15855</v>
      </c>
      <c r="I870" s="297" t="s">
        <v>2429</v>
      </c>
      <c r="J870" s="297" t="s">
        <v>13605</v>
      </c>
      <c r="K870" s="298" t="s">
        <v>15855</v>
      </c>
      <c r="L870" s="298" t="s">
        <v>15855</v>
      </c>
      <c r="M870" s="298" t="s">
        <v>15855</v>
      </c>
      <c r="N870" s="298" t="s">
        <v>15855</v>
      </c>
      <c r="O870" s="298" t="s">
        <v>15858</v>
      </c>
      <c r="P870" s="299" t="s">
        <v>15857</v>
      </c>
      <c r="Q870" s="300" t="s">
        <v>15855</v>
      </c>
      <c r="R870" s="182" t="str">
        <f ca="1">IF(ISERROR($V870),"",OFFSET('Smelter Look-up'!$C$4,$V870-4,0)&amp;"")</f>
        <v>Gejiu Yunxin Nonferrous Electrolysis Co., Ltd.</v>
      </c>
      <c r="S870" s="181" t="str">
        <f t="shared" ca="1" si="122"/>
        <v>CN</v>
      </c>
      <c r="T870" s="181" t="str">
        <f ca="1">IF(B870="","",IF(ISERROR(MATCH($J870,SorP!$B$1:$B$6226,0)),"",INDIRECT("'SorP'!$A$"&amp;MATCH($S870&amp;$J870,SorP!C:C,0))))</f>
        <v>CN-YN</v>
      </c>
      <c r="U870" s="201"/>
      <c r="V870" s="226">
        <f>IF(C870="",NA(),IF(OR(C870="Smelter not listed",C870="Smelter not yet identified"),MATCH($B870&amp;$D870,'Smelter Look-up'!$J:$J,0),MATCH($B870&amp;$C870,'Smelter Look-up'!$J:$J,0)))</f>
        <v>449</v>
      </c>
      <c r="X870" s="227">
        <f t="shared" si="123"/>
        <v>0</v>
      </c>
      <c r="AB870" s="228" t="str">
        <f t="shared" si="124"/>
        <v>TinGejiu Yunxin Nonferrous Electrolysis Co., Ltd.</v>
      </c>
    </row>
    <row r="871" spans="1:28" s="227" customFormat="1" ht="94.5">
      <c r="A871" s="301" t="s">
        <v>1785</v>
      </c>
      <c r="B871" s="293" t="s">
        <v>1120</v>
      </c>
      <c r="C871" s="294" t="s">
        <v>1784</v>
      </c>
      <c r="D871" s="295" t="s">
        <v>1784</v>
      </c>
      <c r="E871" s="293" t="s">
        <v>1090</v>
      </c>
      <c r="F871" s="293" t="s">
        <v>1785</v>
      </c>
      <c r="G871" s="293" t="s">
        <v>13217</v>
      </c>
      <c r="H871" s="296" t="s">
        <v>15855</v>
      </c>
      <c r="I871" s="297" t="s">
        <v>2429</v>
      </c>
      <c r="J871" s="297" t="s">
        <v>13605</v>
      </c>
      <c r="K871" s="298" t="s">
        <v>16614</v>
      </c>
      <c r="L871" s="298" t="s">
        <v>16615</v>
      </c>
      <c r="M871" s="298" t="s">
        <v>15869</v>
      </c>
      <c r="N871" s="298" t="s">
        <v>15870</v>
      </c>
      <c r="O871" s="298" t="s">
        <v>16616</v>
      </c>
      <c r="P871" s="299" t="s">
        <v>15857</v>
      </c>
      <c r="Q871" s="300" t="s">
        <v>15855</v>
      </c>
      <c r="R871" s="182" t="str">
        <f ca="1">IF(ISERROR($V871),"",OFFSET('Smelter Look-up'!$C$4,$V871-4,0)&amp;"")</f>
        <v>Gejiu Yunxin Nonferrous Electrolysis Co., Ltd.</v>
      </c>
      <c r="S871" s="181" t="str">
        <f t="shared" ca="1" si="122"/>
        <v>CN</v>
      </c>
      <c r="T871" s="181" t="str">
        <f ca="1">IF(B871="","",IF(ISERROR(MATCH($J871,SorP!$B$1:$B$6226,0)),"",INDIRECT("'SorP'!$A$"&amp;MATCH($S871&amp;$J871,SorP!C:C,0))))</f>
        <v>CN-YN</v>
      </c>
      <c r="U871" s="201"/>
      <c r="V871" s="226">
        <f>IF(C871="",NA(),IF(OR(C871="Smelter not listed",C871="Smelter not yet identified"),MATCH($B871&amp;$D871,'Smelter Look-up'!$J:$J,0),MATCH($B871&amp;$C871,'Smelter Look-up'!$J:$J,0)))</f>
        <v>449</v>
      </c>
      <c r="X871" s="227">
        <f t="shared" si="123"/>
        <v>0</v>
      </c>
      <c r="AB871" s="228" t="str">
        <f t="shared" si="124"/>
        <v>TinGejiu Yunxin Nonferrous Electrolysis Co., Ltd.</v>
      </c>
    </row>
    <row r="872" spans="1:28" s="227" customFormat="1" ht="81">
      <c r="A872" s="301" t="s">
        <v>1785</v>
      </c>
      <c r="B872" s="293" t="s">
        <v>1120</v>
      </c>
      <c r="C872" s="294" t="s">
        <v>2320</v>
      </c>
      <c r="D872" s="295" t="s">
        <v>1784</v>
      </c>
      <c r="E872" s="293" t="s">
        <v>1090</v>
      </c>
      <c r="F872" s="293" t="s">
        <v>1785</v>
      </c>
      <c r="G872" s="293" t="s">
        <v>15864</v>
      </c>
      <c r="H872" s="296" t="s">
        <v>15855</v>
      </c>
      <c r="I872" s="297" t="s">
        <v>2429</v>
      </c>
      <c r="J872" s="297" t="s">
        <v>16594</v>
      </c>
      <c r="K872" s="298" t="s">
        <v>15855</v>
      </c>
      <c r="L872" s="298" t="s">
        <v>15855</v>
      </c>
      <c r="M872" s="298" t="s">
        <v>15855</v>
      </c>
      <c r="N872" s="298" t="s">
        <v>15855</v>
      </c>
      <c r="O872" s="298" t="s">
        <v>15855</v>
      </c>
      <c r="P872" s="299" t="s">
        <v>15857</v>
      </c>
      <c r="Q872" s="300" t="s">
        <v>15855</v>
      </c>
      <c r="R872" s="182" t="str">
        <f ca="1">IF(ISERROR($V872),"",OFFSET('Smelter Look-up'!$C$4,$V872-4,0)&amp;"")</f>
        <v>Gejiu Yunxin Nonferrous Electrolysis Co., Ltd.</v>
      </c>
      <c r="S872" s="181" t="str">
        <f t="shared" ca="1" si="122"/>
        <v>CN</v>
      </c>
      <c r="T872" s="181" t="str">
        <f ca="1">IF(B872="","",IF(ISERROR(MATCH($J872,SorP!$B$1:$B$6226,0)),"",INDIRECT("'SorP'!$A$"&amp;MATCH($S872&amp;$J872,SorP!C:C,0))))</f>
        <v/>
      </c>
      <c r="U872" s="201"/>
      <c r="V872" s="226">
        <f>IF(C872="",NA(),IF(OR(C872="Smelter not listed",C872="Smelter not yet identified"),MATCH($B872&amp;$D872,'Smelter Look-up'!$J:$J,0),MATCH($B872&amp;$C872,'Smelter Look-up'!$J:$J,0)))</f>
        <v>566</v>
      </c>
      <c r="X872" s="227">
        <f t="shared" si="123"/>
        <v>0</v>
      </c>
      <c r="AB872" s="228" t="str">
        <f t="shared" si="124"/>
        <v>TinYunNan Gejiu Yunxin Electrolyze Limited</v>
      </c>
    </row>
    <row r="873" spans="1:28" s="227" customFormat="1" ht="81">
      <c r="A873" s="301" t="s">
        <v>1785</v>
      </c>
      <c r="B873" s="293" t="s">
        <v>1120</v>
      </c>
      <c r="C873" s="294" t="s">
        <v>2320</v>
      </c>
      <c r="D873" s="295" t="s">
        <v>1784</v>
      </c>
      <c r="E873" s="293" t="s">
        <v>1090</v>
      </c>
      <c r="F873" s="293" t="s">
        <v>1785</v>
      </c>
      <c r="G873" s="293" t="s">
        <v>13217</v>
      </c>
      <c r="H873" s="296" t="s">
        <v>15855</v>
      </c>
      <c r="I873" s="297" t="s">
        <v>2429</v>
      </c>
      <c r="J873" s="297" t="s">
        <v>13605</v>
      </c>
      <c r="K873" s="298" t="s">
        <v>15855</v>
      </c>
      <c r="L873" s="298" t="s">
        <v>15855</v>
      </c>
      <c r="M873" s="298" t="s">
        <v>15855</v>
      </c>
      <c r="N873" s="298" t="s">
        <v>15855</v>
      </c>
      <c r="O873" s="298" t="s">
        <v>15855</v>
      </c>
      <c r="P873" s="299" t="s">
        <v>15857</v>
      </c>
      <c r="Q873" s="300" t="s">
        <v>15855</v>
      </c>
      <c r="R873" s="182" t="str">
        <f ca="1">IF(ISERROR($V873),"",OFFSET('Smelter Look-up'!$C$4,$V873-4,0)&amp;"")</f>
        <v>Gejiu Yunxin Nonferrous Electrolysis Co., Ltd.</v>
      </c>
      <c r="S873" s="181" t="str">
        <f t="shared" ca="1" si="122"/>
        <v>CN</v>
      </c>
      <c r="T873" s="181" t="str">
        <f ca="1">IF(B873="","",IF(ISERROR(MATCH($J873,SorP!$B$1:$B$6226,0)),"",INDIRECT("'SorP'!$A$"&amp;MATCH($S873&amp;$J873,SorP!C:C,0))))</f>
        <v>CN-YN</v>
      </c>
      <c r="U873" s="201"/>
      <c r="V873" s="226">
        <f>IF(C873="",NA(),IF(OR(C873="Smelter not listed",C873="Smelter not yet identified"),MATCH($B873&amp;$D873,'Smelter Look-up'!$J:$J,0),MATCH($B873&amp;$C873,'Smelter Look-up'!$J:$J,0)))</f>
        <v>566</v>
      </c>
      <c r="X873" s="227">
        <f t="shared" si="123"/>
        <v>0</v>
      </c>
      <c r="AB873" s="228" t="str">
        <f t="shared" si="124"/>
        <v>TinYunNan Gejiu Yunxin Electrolyze Limited</v>
      </c>
    </row>
    <row r="874" spans="1:28" s="227" customFormat="1" ht="94.5">
      <c r="A874" s="301" t="s">
        <v>1785</v>
      </c>
      <c r="B874" s="293" t="s">
        <v>1120</v>
      </c>
      <c r="C874" s="294" t="s">
        <v>2321</v>
      </c>
      <c r="D874" s="295" t="s">
        <v>1784</v>
      </c>
      <c r="E874" s="293" t="s">
        <v>1090</v>
      </c>
      <c r="F874" s="293" t="s">
        <v>1785</v>
      </c>
      <c r="G874" s="293" t="s">
        <v>15855</v>
      </c>
      <c r="H874" s="296" t="s">
        <v>15855</v>
      </c>
      <c r="I874" s="297" t="s">
        <v>2429</v>
      </c>
      <c r="J874" s="297" t="s">
        <v>13605</v>
      </c>
      <c r="K874" s="298" t="s">
        <v>15855</v>
      </c>
      <c r="L874" s="298" t="s">
        <v>15855</v>
      </c>
      <c r="M874" s="298" t="s">
        <v>15855</v>
      </c>
      <c r="N874" s="298" t="s">
        <v>15855</v>
      </c>
      <c r="O874" s="298" t="s">
        <v>15855</v>
      </c>
      <c r="P874" s="299" t="s">
        <v>15857</v>
      </c>
      <c r="Q874" s="300" t="s">
        <v>15855</v>
      </c>
      <c r="R874" s="182" t="str">
        <f ca="1">IF(ISERROR($V874),"",OFFSET('Smelter Look-up'!$C$4,$V874-4,0)&amp;"")</f>
        <v>Gejiu Yunxin Nonferrous Electrolysis Co., Ltd.</v>
      </c>
      <c r="S874" s="181" t="str">
        <f t="shared" ca="1" si="122"/>
        <v>CN</v>
      </c>
      <c r="T874" s="181" t="str">
        <f ca="1">IF(B874="","",IF(ISERROR(MATCH($J874,SorP!$B$1:$B$6226,0)),"",INDIRECT("'SorP'!$A$"&amp;MATCH($S874&amp;$J874,SorP!C:C,0))))</f>
        <v>CN-YN</v>
      </c>
      <c r="U874" s="201"/>
      <c r="V874" s="226">
        <f>IF(C874="",NA(),IF(OR(C874="Smelter not listed",C874="Smelter not yet identified"),MATCH($B874&amp;$D874,'Smelter Look-up'!$J:$J,0),MATCH($B874&amp;$C874,'Smelter Look-up'!$J:$J,0)))</f>
        <v>575</v>
      </c>
      <c r="X874" s="227">
        <f t="shared" si="123"/>
        <v>0</v>
      </c>
      <c r="AB874" s="228" t="str">
        <f t="shared" si="124"/>
        <v>TinYUNXIN colored electrolysis Company Limited</v>
      </c>
    </row>
    <row r="875" spans="1:28" s="227" customFormat="1" ht="94.5">
      <c r="A875" s="301" t="s">
        <v>763</v>
      </c>
      <c r="B875" s="293" t="s">
        <v>1120</v>
      </c>
      <c r="C875" s="294" t="s">
        <v>1758</v>
      </c>
      <c r="D875" s="295" t="s">
        <v>1758</v>
      </c>
      <c r="E875" s="293" t="s">
        <v>1090</v>
      </c>
      <c r="F875" s="293" t="s">
        <v>763</v>
      </c>
      <c r="G875" s="293" t="s">
        <v>13217</v>
      </c>
      <c r="H875" s="296" t="s">
        <v>15855</v>
      </c>
      <c r="I875" s="297" t="s">
        <v>2429</v>
      </c>
      <c r="J875" s="297" t="s">
        <v>13605</v>
      </c>
      <c r="K875" s="298" t="s">
        <v>15855</v>
      </c>
      <c r="L875" s="298" t="s">
        <v>15855</v>
      </c>
      <c r="M875" s="298" t="s">
        <v>15855</v>
      </c>
      <c r="N875" s="298" t="s">
        <v>15855</v>
      </c>
      <c r="O875" s="298" t="s">
        <v>15855</v>
      </c>
      <c r="P875" s="299" t="s">
        <v>15857</v>
      </c>
      <c r="Q875" s="300" t="s">
        <v>15855</v>
      </c>
      <c r="R875" s="182" t="str">
        <f ca="1">IF(ISERROR($V875),"",OFFSET('Smelter Look-up'!$C$4,$V875-4,0)&amp;"")</f>
        <v>Gejiu Zili Mining And Metallurgy Co., Ltd.</v>
      </c>
      <c r="S875" s="181" t="str">
        <f t="shared" ca="1" si="122"/>
        <v>CN</v>
      </c>
      <c r="T875" s="181" t="str">
        <f ca="1">IF(B875="","",IF(ISERROR(MATCH($J875,SorP!$B$1:$B$6226,0)),"",INDIRECT("'SorP'!$A$"&amp;MATCH($S875&amp;$J875,SorP!C:C,0))))</f>
        <v>CN-YN</v>
      </c>
      <c r="U875" s="201"/>
      <c r="V875" s="226">
        <f>IF(C875="",NA(),IF(OR(C875="Smelter not listed",C875="Smelter not yet identified"),MATCH($B875&amp;$D875,'Smelter Look-up'!$J:$J,0),MATCH($B875&amp;$C875,'Smelter Look-up'!$J:$J,0)))</f>
        <v>451</v>
      </c>
      <c r="X875" s="227">
        <f t="shared" si="123"/>
        <v>0</v>
      </c>
      <c r="AB875" s="228" t="str">
        <f t="shared" si="124"/>
        <v>TinGejiu Zili Mining And Metallurgy Co., Ltd.</v>
      </c>
    </row>
    <row r="876" spans="1:28" s="227" customFormat="1" ht="94.5">
      <c r="A876" s="301" t="s">
        <v>763</v>
      </c>
      <c r="B876" s="293" t="s">
        <v>1120</v>
      </c>
      <c r="C876" s="294" t="s">
        <v>1758</v>
      </c>
      <c r="D876" s="295" t="s">
        <v>1758</v>
      </c>
      <c r="E876" s="293" t="s">
        <v>1090</v>
      </c>
      <c r="F876" s="293" t="s">
        <v>763</v>
      </c>
      <c r="G876" s="293" t="s">
        <v>13217</v>
      </c>
      <c r="H876" s="296" t="s">
        <v>15855</v>
      </c>
      <c r="I876" s="297" t="s">
        <v>2429</v>
      </c>
      <c r="J876" s="297" t="s">
        <v>13605</v>
      </c>
      <c r="K876" s="298" t="s">
        <v>15855</v>
      </c>
      <c r="L876" s="298" t="s">
        <v>15855</v>
      </c>
      <c r="M876" s="298" t="s">
        <v>15855</v>
      </c>
      <c r="N876" s="298" t="s">
        <v>15855</v>
      </c>
      <c r="O876" s="298" t="s">
        <v>15858</v>
      </c>
      <c r="P876" s="299" t="s">
        <v>15857</v>
      </c>
      <c r="Q876" s="300" t="s">
        <v>15855</v>
      </c>
      <c r="R876" s="182" t="str">
        <f ca="1">IF(ISERROR($V876),"",OFFSET('Smelter Look-up'!$C$4,$V876-4,0)&amp;"")</f>
        <v>Gejiu Zili Mining And Metallurgy Co., Ltd.</v>
      </c>
      <c r="S876" s="181" t="str">
        <f t="shared" ca="1" si="122"/>
        <v>CN</v>
      </c>
      <c r="T876" s="181" t="str">
        <f ca="1">IF(B876="","",IF(ISERROR(MATCH($J876,SorP!$B$1:$B$6226,0)),"",INDIRECT("'SorP'!$A$"&amp;MATCH($S876&amp;$J876,SorP!C:C,0))))</f>
        <v>CN-YN</v>
      </c>
      <c r="U876" s="201"/>
      <c r="V876" s="226">
        <f>IF(C876="",NA(),IF(OR(C876="Smelter not listed",C876="Smelter not yet identified"),MATCH($B876&amp;$D876,'Smelter Look-up'!$J:$J,0),MATCH($B876&amp;$C876,'Smelter Look-up'!$J:$J,0)))</f>
        <v>451</v>
      </c>
      <c r="X876" s="227">
        <f t="shared" si="123"/>
        <v>0</v>
      </c>
      <c r="AB876" s="228" t="str">
        <f t="shared" si="124"/>
        <v>TinGejiu Zili Mining And Metallurgy Co., Ltd.</v>
      </c>
    </row>
    <row r="877" spans="1:28" s="227" customFormat="1" ht="94.5">
      <c r="A877" s="301" t="s">
        <v>763</v>
      </c>
      <c r="B877" s="293" t="s">
        <v>1120</v>
      </c>
      <c r="C877" s="294" t="s">
        <v>1758</v>
      </c>
      <c r="D877" s="295" t="s">
        <v>1758</v>
      </c>
      <c r="E877" s="293" t="s">
        <v>1090</v>
      </c>
      <c r="F877" s="293" t="s">
        <v>763</v>
      </c>
      <c r="G877" s="293" t="s">
        <v>13217</v>
      </c>
      <c r="H877" s="296" t="s">
        <v>15855</v>
      </c>
      <c r="I877" s="297" t="s">
        <v>2429</v>
      </c>
      <c r="J877" s="297" t="s">
        <v>13605</v>
      </c>
      <c r="K877" s="298" t="s">
        <v>16617</v>
      </c>
      <c r="L877" s="298" t="s">
        <v>16618</v>
      </c>
      <c r="M877" s="298" t="s">
        <v>15869</v>
      </c>
      <c r="N877" s="298" t="s">
        <v>15862</v>
      </c>
      <c r="O877" s="298" t="s">
        <v>16619</v>
      </c>
      <c r="P877" s="299" t="s">
        <v>15857</v>
      </c>
      <c r="Q877" s="300" t="s">
        <v>15855</v>
      </c>
      <c r="R877" s="182" t="str">
        <f ca="1">IF(ISERROR($V877),"",OFFSET('Smelter Look-up'!$C$4,$V877-4,0)&amp;"")</f>
        <v>Gejiu Zili Mining And Metallurgy Co., Ltd.</v>
      </c>
      <c r="S877" s="181" t="str">
        <f t="shared" ca="1" si="122"/>
        <v>CN</v>
      </c>
      <c r="T877" s="181" t="str">
        <f ca="1">IF(B877="","",IF(ISERROR(MATCH($J877,SorP!$B$1:$B$6226,0)),"",INDIRECT("'SorP'!$A$"&amp;MATCH($S877&amp;$J877,SorP!C:C,0))))</f>
        <v>CN-YN</v>
      </c>
      <c r="U877" s="201"/>
      <c r="V877" s="226">
        <f>IF(C877="",NA(),IF(OR(C877="Smelter not listed",C877="Smelter not yet identified"),MATCH($B877&amp;$D877,'Smelter Look-up'!$J:$J,0),MATCH($B877&amp;$C877,'Smelter Look-up'!$J:$J,0)))</f>
        <v>451</v>
      </c>
      <c r="X877" s="227">
        <f t="shared" si="123"/>
        <v>0</v>
      </c>
      <c r="AB877" s="228" t="str">
        <f t="shared" si="124"/>
        <v>TinGejiu Zili Mining And Metallurgy Co., Ltd.</v>
      </c>
    </row>
    <row r="878" spans="1:28" s="227" customFormat="1" ht="94.5">
      <c r="A878" s="301" t="s">
        <v>2512</v>
      </c>
      <c r="B878" s="293" t="s">
        <v>1120</v>
      </c>
      <c r="C878" s="294" t="s">
        <v>2511</v>
      </c>
      <c r="D878" s="295" t="s">
        <v>2511</v>
      </c>
      <c r="E878" s="293" t="s">
        <v>1090</v>
      </c>
      <c r="F878" s="293" t="s">
        <v>2512</v>
      </c>
      <c r="G878" s="293" t="s">
        <v>13217</v>
      </c>
      <c r="H878" s="296" t="s">
        <v>15855</v>
      </c>
      <c r="I878" s="297" t="s">
        <v>1810</v>
      </c>
      <c r="J878" s="297" t="s">
        <v>13601</v>
      </c>
      <c r="K878" s="298" t="s">
        <v>15855</v>
      </c>
      <c r="L878" s="298" t="s">
        <v>15855</v>
      </c>
      <c r="M878" s="298" t="s">
        <v>15855</v>
      </c>
      <c r="N878" s="298" t="s">
        <v>15855</v>
      </c>
      <c r="O878" s="298" t="s">
        <v>15855</v>
      </c>
      <c r="P878" s="299" t="s">
        <v>15857</v>
      </c>
      <c r="Q878" s="300" t="s">
        <v>15855</v>
      </c>
      <c r="R878" s="182" t="str">
        <f ca="1">IF(ISERROR($V878),"",OFFSET('Smelter Look-up'!$C$4,$V878-4,0)&amp;"")</f>
        <v>Guangdong Hanhe Non-Ferrous Metal Co., Ltd.</v>
      </c>
      <c r="S878" s="181" t="str">
        <f t="shared" ca="1" si="122"/>
        <v>CN</v>
      </c>
      <c r="T878" s="181" t="str">
        <f ca="1">IF(B878="","",IF(ISERROR(MATCH($J878,SorP!$B$1:$B$6226,0)),"",INDIRECT("'SorP'!$A$"&amp;MATCH($S878&amp;$J878,SorP!C:C,0))))</f>
        <v>CN-GD</v>
      </c>
      <c r="U878" s="201"/>
      <c r="V878" s="226">
        <f>IF(C878="",NA(),IF(OR(C878="Smelter not listed",C878="Smelter not yet identified"),MATCH($B878&amp;$D878,'Smelter Look-up'!$J:$J,0),MATCH($B878&amp;$C878,'Smelter Look-up'!$J:$J,0)))</f>
        <v>455</v>
      </c>
      <c r="X878" s="227">
        <f t="shared" si="123"/>
        <v>0</v>
      </c>
      <c r="AB878" s="228" t="str">
        <f t="shared" si="124"/>
        <v>TinGuangdong Hanhe Non-Ferrous Metal Co., Ltd.</v>
      </c>
    </row>
    <row r="879" spans="1:28" s="227" customFormat="1" ht="94.5">
      <c r="A879" s="301" t="s">
        <v>2512</v>
      </c>
      <c r="B879" s="293" t="s">
        <v>1120</v>
      </c>
      <c r="C879" s="294" t="s">
        <v>2511</v>
      </c>
      <c r="D879" s="295" t="s">
        <v>2511</v>
      </c>
      <c r="E879" s="293" t="s">
        <v>1090</v>
      </c>
      <c r="F879" s="293" t="s">
        <v>2512</v>
      </c>
      <c r="G879" s="293" t="s">
        <v>13217</v>
      </c>
      <c r="H879" s="296" t="s">
        <v>15855</v>
      </c>
      <c r="I879" s="297" t="s">
        <v>1810</v>
      </c>
      <c r="J879" s="297" t="s">
        <v>13601</v>
      </c>
      <c r="K879" s="298" t="s">
        <v>15855</v>
      </c>
      <c r="L879" s="298" t="s">
        <v>15855</v>
      </c>
      <c r="M879" s="298" t="s">
        <v>15855</v>
      </c>
      <c r="N879" s="298" t="s">
        <v>15855</v>
      </c>
      <c r="O879" s="298" t="s">
        <v>16125</v>
      </c>
      <c r="P879" s="299" t="s">
        <v>15857</v>
      </c>
      <c r="Q879" s="300" t="s">
        <v>15855</v>
      </c>
      <c r="R879" s="182" t="str">
        <f ca="1">IF(ISERROR($V879),"",OFFSET('Smelter Look-up'!$C$4,$V879-4,0)&amp;"")</f>
        <v>Guangdong Hanhe Non-Ferrous Metal Co., Ltd.</v>
      </c>
      <c r="S879" s="181" t="str">
        <f t="shared" ca="1" si="122"/>
        <v>CN</v>
      </c>
      <c r="T879" s="181" t="str">
        <f ca="1">IF(B879="","",IF(ISERROR(MATCH($J879,SorP!$B$1:$B$6226,0)),"",INDIRECT("'SorP'!$A$"&amp;MATCH($S879&amp;$J879,SorP!C:C,0))))</f>
        <v>CN-GD</v>
      </c>
      <c r="U879" s="201"/>
      <c r="V879" s="226">
        <f>IF(C879="",NA(),IF(OR(C879="Smelter not listed",C879="Smelter not yet identified"),MATCH($B879&amp;$D879,'Smelter Look-up'!$J:$J,0),MATCH($B879&amp;$C879,'Smelter Look-up'!$J:$J,0)))</f>
        <v>455</v>
      </c>
      <c r="X879" s="227">
        <f t="shared" si="123"/>
        <v>0</v>
      </c>
      <c r="AB879" s="228" t="str">
        <f t="shared" si="124"/>
        <v>TinGuangdong Hanhe Non-Ferrous Metal Co., Ltd.</v>
      </c>
    </row>
    <row r="880" spans="1:28" s="227" customFormat="1" ht="94.5">
      <c r="A880" s="301" t="s">
        <v>2512</v>
      </c>
      <c r="B880" s="293" t="s">
        <v>1120</v>
      </c>
      <c r="C880" s="294" t="s">
        <v>2511</v>
      </c>
      <c r="D880" s="295" t="s">
        <v>2511</v>
      </c>
      <c r="E880" s="293" t="s">
        <v>1090</v>
      </c>
      <c r="F880" s="293" t="s">
        <v>2512</v>
      </c>
      <c r="G880" s="293" t="s">
        <v>13217</v>
      </c>
      <c r="H880" s="296" t="s">
        <v>15855</v>
      </c>
      <c r="I880" s="297" t="s">
        <v>1810</v>
      </c>
      <c r="J880" s="297" t="s">
        <v>13601</v>
      </c>
      <c r="K880" s="298" t="s">
        <v>16620</v>
      </c>
      <c r="L880" s="298" t="s">
        <v>16621</v>
      </c>
      <c r="M880" s="298" t="s">
        <v>15892</v>
      </c>
      <c r="N880" s="298" t="s">
        <v>15862</v>
      </c>
      <c r="O880" s="298" t="s">
        <v>16558</v>
      </c>
      <c r="P880" s="299" t="s">
        <v>15857</v>
      </c>
      <c r="Q880" s="300" t="s">
        <v>15855</v>
      </c>
      <c r="R880" s="182" t="str">
        <f ca="1">IF(ISERROR($V880),"",OFFSET('Smelter Look-up'!$C$4,$V880-4,0)&amp;"")</f>
        <v>Guangdong Hanhe Non-Ferrous Metal Co., Ltd.</v>
      </c>
      <c r="S880" s="181" t="str">
        <f t="shared" ca="1" si="122"/>
        <v>CN</v>
      </c>
      <c r="T880" s="181" t="str">
        <f ca="1">IF(B880="","",IF(ISERROR(MATCH($J880,SorP!$B$1:$B$6226,0)),"",INDIRECT("'SorP'!$A$"&amp;MATCH($S880&amp;$J880,SorP!C:C,0))))</f>
        <v>CN-GD</v>
      </c>
      <c r="U880" s="201"/>
      <c r="V880" s="226">
        <f>IF(C880="",NA(),IF(OR(C880="Smelter not listed",C880="Smelter not yet identified"),MATCH($B880&amp;$D880,'Smelter Look-up'!$J:$J,0),MATCH($B880&amp;$C880,'Smelter Look-up'!$J:$J,0)))</f>
        <v>455</v>
      </c>
      <c r="X880" s="227">
        <f t="shared" si="123"/>
        <v>0</v>
      </c>
      <c r="AB880" s="228" t="str">
        <f t="shared" si="124"/>
        <v>TinGuangdong Hanhe Non-Ferrous Metal Co., Ltd.</v>
      </c>
    </row>
    <row r="881" spans="1:28" s="227" customFormat="1" ht="94.5">
      <c r="A881" s="301" t="s">
        <v>2512</v>
      </c>
      <c r="B881" s="293" t="s">
        <v>1120</v>
      </c>
      <c r="C881" s="294" t="s">
        <v>2511</v>
      </c>
      <c r="D881" s="295" t="s">
        <v>2511</v>
      </c>
      <c r="E881" s="293" t="s">
        <v>1090</v>
      </c>
      <c r="F881" s="293" t="s">
        <v>2512</v>
      </c>
      <c r="G881" s="293" t="s">
        <v>13217</v>
      </c>
      <c r="H881" s="302" t="s">
        <v>15880</v>
      </c>
      <c r="I881" s="297" t="s">
        <v>1810</v>
      </c>
      <c r="J881" s="297" t="s">
        <v>13601</v>
      </c>
      <c r="K881" s="298" t="s">
        <v>15855</v>
      </c>
      <c r="L881" s="298" t="s">
        <v>15855</v>
      </c>
      <c r="M881" s="298" t="s">
        <v>15855</v>
      </c>
      <c r="N881" s="298" t="s">
        <v>15855</v>
      </c>
      <c r="O881" s="298" t="s">
        <v>15855</v>
      </c>
      <c r="P881" s="299" t="s">
        <v>15857</v>
      </c>
      <c r="Q881" s="300" t="s">
        <v>15855</v>
      </c>
      <c r="R881" s="182" t="str">
        <f ca="1">IF(ISERROR($V881),"",OFFSET('Smelter Look-up'!$C$4,$V881-4,0)&amp;"")</f>
        <v>Guangdong Hanhe Non-Ferrous Metal Co., Ltd.</v>
      </c>
      <c r="S881" s="181" t="str">
        <f t="shared" ca="1" si="122"/>
        <v>CN</v>
      </c>
      <c r="T881" s="181" t="str">
        <f ca="1">IF(B881="","",IF(ISERROR(MATCH($J881,SorP!$B$1:$B$6226,0)),"",INDIRECT("'SorP'!$A$"&amp;MATCH($S881&amp;$J881,SorP!C:C,0))))</f>
        <v>CN-GD</v>
      </c>
      <c r="U881" s="201"/>
      <c r="V881" s="226">
        <f>IF(C881="",NA(),IF(OR(C881="Smelter not listed",C881="Smelter not yet identified"),MATCH($B881&amp;$D881,'Smelter Look-up'!$J:$J,0),MATCH($B881&amp;$C881,'Smelter Look-up'!$J:$J,0)))</f>
        <v>455</v>
      </c>
      <c r="X881" s="227">
        <f t="shared" si="123"/>
        <v>0</v>
      </c>
      <c r="AB881" s="228" t="str">
        <f t="shared" si="124"/>
        <v>TinGuangdong Hanhe Non-Ferrous Metal Co., Ltd.</v>
      </c>
    </row>
    <row r="882" spans="1:28" s="227" customFormat="1" ht="81">
      <c r="A882" s="301" t="s">
        <v>743</v>
      </c>
      <c r="B882" s="293" t="s">
        <v>1120</v>
      </c>
      <c r="C882" s="294" t="s">
        <v>742</v>
      </c>
      <c r="D882" s="295" t="s">
        <v>742</v>
      </c>
      <c r="E882" s="293" t="s">
        <v>1090</v>
      </c>
      <c r="F882" s="293" t="s">
        <v>743</v>
      </c>
      <c r="G882" s="293" t="s">
        <v>15865</v>
      </c>
      <c r="H882" s="296" t="s">
        <v>15855</v>
      </c>
      <c r="I882" s="297" t="s">
        <v>1707</v>
      </c>
      <c r="J882" s="297" t="s">
        <v>16622</v>
      </c>
      <c r="K882" s="298" t="s">
        <v>15855</v>
      </c>
      <c r="L882" s="298" t="s">
        <v>15855</v>
      </c>
      <c r="M882" s="298" t="s">
        <v>15855</v>
      </c>
      <c r="N882" s="298" t="s">
        <v>15855</v>
      </c>
      <c r="O882" s="298" t="s">
        <v>15855</v>
      </c>
      <c r="P882" s="299" t="s">
        <v>15857</v>
      </c>
      <c r="Q882" s="300" t="s">
        <v>15855</v>
      </c>
      <c r="R882" s="182" t="str">
        <f ca="1">IF(ISERROR($V882),"",OFFSET('Smelter Look-up'!$C$4,$V882-4,0)&amp;"")</f>
        <v/>
      </c>
      <c r="S882" s="181" t="str">
        <f t="shared" ca="1" si="122"/>
        <v>CN</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si="123"/>
        <v>0</v>
      </c>
      <c r="AB882" s="228" t="str">
        <f t="shared" si="124"/>
        <v>TinGuangdong Zhiyuan New Material Co., Ltd.</v>
      </c>
    </row>
    <row r="883" spans="1:28" s="227" customFormat="1" ht="67.5">
      <c r="A883" s="301" t="s">
        <v>15811</v>
      </c>
      <c r="B883" s="293" t="s">
        <v>1120</v>
      </c>
      <c r="C883" s="294" t="s">
        <v>15810</v>
      </c>
      <c r="D883" s="295" t="s">
        <v>15810</v>
      </c>
      <c r="E883" s="293" t="s">
        <v>1090</v>
      </c>
      <c r="F883" s="293" t="s">
        <v>15811</v>
      </c>
      <c r="G883" s="293" t="s">
        <v>13217</v>
      </c>
      <c r="H883" s="296" t="s">
        <v>15855</v>
      </c>
      <c r="I883" s="297" t="s">
        <v>1759</v>
      </c>
      <c r="J883" s="297" t="s">
        <v>13596</v>
      </c>
      <c r="K883" s="298" t="s">
        <v>15855</v>
      </c>
      <c r="L883" s="298" t="s">
        <v>15855</v>
      </c>
      <c r="M883" s="298" t="s">
        <v>15855</v>
      </c>
      <c r="N883" s="298" t="s">
        <v>15855</v>
      </c>
      <c r="O883" s="298" t="s">
        <v>15855</v>
      </c>
      <c r="P883" s="299" t="s">
        <v>15857</v>
      </c>
      <c r="Q883" s="300" t="s">
        <v>15855</v>
      </c>
      <c r="R883" s="182" t="str">
        <f ca="1">IF(ISERROR($V883),"",OFFSET('Smelter Look-up'!$C$4,$V883-4,0)&amp;"")</f>
        <v>HuiChang Hill Tin Industry Co., Ltd.</v>
      </c>
      <c r="S883" s="181" t="str">
        <f t="shared" ca="1" si="122"/>
        <v>CN</v>
      </c>
      <c r="T883" s="181" t="str">
        <f ca="1">IF(B883="","",IF(ISERROR(MATCH($J883,SorP!$B$1:$B$6226,0)),"",INDIRECT("'SorP'!$A$"&amp;MATCH($S883&amp;$J883,SorP!C:C,0))))</f>
        <v>CN-JX</v>
      </c>
      <c r="U883" s="201"/>
      <c r="V883" s="226">
        <f>IF(C883="",NA(),IF(OR(C883="Smelter not listed",C883="Smelter not yet identified"),MATCH($B883&amp;$D883,'Smelter Look-up'!$J:$J,0),MATCH($B883&amp;$C883,'Smelter Look-up'!$J:$J,0)))</f>
        <v>458</v>
      </c>
      <c r="X883" s="227">
        <f t="shared" si="123"/>
        <v>0</v>
      </c>
      <c r="AB883" s="228" t="str">
        <f t="shared" si="124"/>
        <v>TinHuiChang Hill Tin Industry Co., Ltd.</v>
      </c>
    </row>
    <row r="884" spans="1:28" s="227" customFormat="1" ht="67.5">
      <c r="A884" s="301" t="s">
        <v>15811</v>
      </c>
      <c r="B884" s="293" t="s">
        <v>1120</v>
      </c>
      <c r="C884" s="294" t="s">
        <v>15810</v>
      </c>
      <c r="D884" s="295" t="s">
        <v>15810</v>
      </c>
      <c r="E884" s="293" t="s">
        <v>1090</v>
      </c>
      <c r="F884" s="293" t="s">
        <v>15811</v>
      </c>
      <c r="G884" s="293" t="s">
        <v>13217</v>
      </c>
      <c r="H884" s="296" t="s">
        <v>15855</v>
      </c>
      <c r="I884" s="297" t="s">
        <v>1759</v>
      </c>
      <c r="J884" s="297" t="s">
        <v>13596</v>
      </c>
      <c r="K884" s="298" t="s">
        <v>15855</v>
      </c>
      <c r="L884" s="298" t="s">
        <v>15855</v>
      </c>
      <c r="M884" s="298" t="s">
        <v>15855</v>
      </c>
      <c r="N884" s="298" t="s">
        <v>15855</v>
      </c>
      <c r="O884" s="298" t="s">
        <v>15925</v>
      </c>
      <c r="P884" s="299" t="s">
        <v>15857</v>
      </c>
      <c r="Q884" s="300" t="s">
        <v>15855</v>
      </c>
      <c r="R884" s="182" t="str">
        <f ca="1">IF(ISERROR($V884),"",OFFSET('Smelter Look-up'!$C$4,$V884-4,0)&amp;"")</f>
        <v>HuiChang Hill Tin Industry Co., Ltd.</v>
      </c>
      <c r="S884" s="181" t="str">
        <f t="shared" ca="1" si="122"/>
        <v>CN</v>
      </c>
      <c r="T884" s="181" t="str">
        <f ca="1">IF(B884="","",IF(ISERROR(MATCH($J884,SorP!$B$1:$B$6226,0)),"",INDIRECT("'SorP'!$A$"&amp;MATCH($S884&amp;$J884,SorP!C:C,0))))</f>
        <v>CN-JX</v>
      </c>
      <c r="U884" s="201"/>
      <c r="V884" s="226">
        <f>IF(C884="",NA(),IF(OR(C884="Smelter not listed",C884="Smelter not yet identified"),MATCH($B884&amp;$D884,'Smelter Look-up'!$J:$J,0),MATCH($B884&amp;$C884,'Smelter Look-up'!$J:$J,0)))</f>
        <v>458</v>
      </c>
      <c r="X884" s="227">
        <f t="shared" si="123"/>
        <v>0</v>
      </c>
      <c r="AB884" s="228" t="str">
        <f t="shared" si="124"/>
        <v>TinHuiChang Hill Tin Industry Co., Ltd.</v>
      </c>
    </row>
    <row r="885" spans="1:28" s="227" customFormat="1" ht="67.5">
      <c r="A885" s="301" t="s">
        <v>15811</v>
      </c>
      <c r="B885" s="293" t="s">
        <v>1120</v>
      </c>
      <c r="C885" s="294" t="s">
        <v>15810</v>
      </c>
      <c r="D885" s="295" t="s">
        <v>15810</v>
      </c>
      <c r="E885" s="293" t="s">
        <v>1090</v>
      </c>
      <c r="F885" s="293" t="s">
        <v>15811</v>
      </c>
      <c r="G885" s="293" t="s">
        <v>13217</v>
      </c>
      <c r="H885" s="296" t="s">
        <v>15855</v>
      </c>
      <c r="I885" s="297" t="s">
        <v>1759</v>
      </c>
      <c r="J885" s="297" t="s">
        <v>13596</v>
      </c>
      <c r="K885" s="298" t="s">
        <v>16623</v>
      </c>
      <c r="L885" s="298" t="s">
        <v>16624</v>
      </c>
      <c r="M885" s="298" t="s">
        <v>16035</v>
      </c>
      <c r="N885" s="298" t="s">
        <v>15862</v>
      </c>
      <c r="O885" s="298" t="s">
        <v>16619</v>
      </c>
      <c r="P885" s="299" t="s">
        <v>15857</v>
      </c>
      <c r="Q885" s="300" t="s">
        <v>15855</v>
      </c>
      <c r="R885" s="182" t="str">
        <f ca="1">IF(ISERROR($V885),"",OFFSET('Smelter Look-up'!$C$4,$V885-4,0)&amp;"")</f>
        <v>HuiChang Hill Tin Industry Co., Ltd.</v>
      </c>
      <c r="S885" s="181" t="str">
        <f t="shared" ca="1" si="122"/>
        <v>CN</v>
      </c>
      <c r="T885" s="181" t="str">
        <f ca="1">IF(B885="","",IF(ISERROR(MATCH($J885,SorP!$B$1:$B$6226,0)),"",INDIRECT("'SorP'!$A$"&amp;MATCH($S885&amp;$J885,SorP!C:C,0))))</f>
        <v>CN-JX</v>
      </c>
      <c r="U885" s="201"/>
      <c r="V885" s="226">
        <f>IF(C885="",NA(),IF(OR(C885="Smelter not listed",C885="Smelter not yet identified"),MATCH($B885&amp;$D885,'Smelter Look-up'!$J:$J,0),MATCH($B885&amp;$C885,'Smelter Look-up'!$J:$J,0)))</f>
        <v>458</v>
      </c>
      <c r="X885" s="227">
        <f t="shared" si="123"/>
        <v>0</v>
      </c>
      <c r="AB885" s="228" t="str">
        <f t="shared" si="124"/>
        <v>TinHuiChang Hill Tin Industry Co., Ltd.</v>
      </c>
    </row>
    <row r="886" spans="1:28" s="227" customFormat="1" ht="81">
      <c r="A886" s="301" t="s">
        <v>16625</v>
      </c>
      <c r="B886" s="293" t="s">
        <v>1120</v>
      </c>
      <c r="C886" s="294" t="s">
        <v>16626</v>
      </c>
      <c r="D886" s="295" t="s">
        <v>16627</v>
      </c>
      <c r="E886" s="293" t="s">
        <v>1090</v>
      </c>
      <c r="F886" s="293" t="s">
        <v>16625</v>
      </c>
      <c r="G886" s="293" t="s">
        <v>13217</v>
      </c>
      <c r="H886" s="296" t="s">
        <v>15855</v>
      </c>
      <c r="I886" s="297" t="s">
        <v>1759</v>
      </c>
      <c r="J886" s="297" t="s">
        <v>13596</v>
      </c>
      <c r="K886" s="298" t="s">
        <v>15855</v>
      </c>
      <c r="L886" s="298" t="s">
        <v>15855</v>
      </c>
      <c r="M886" s="298" t="s">
        <v>15855</v>
      </c>
      <c r="N886" s="298" t="s">
        <v>15855</v>
      </c>
      <c r="O886" s="298" t="s">
        <v>15855</v>
      </c>
      <c r="P886" s="299" t="s">
        <v>15857</v>
      </c>
      <c r="Q886" s="300" t="s">
        <v>15855</v>
      </c>
      <c r="R886" s="182" t="str">
        <f ca="1">IF(ISERROR($V886),"",OFFSET('Smelter Look-up'!$C$4,$V886-4,0)&amp;"")</f>
        <v/>
      </c>
      <c r="S886" s="181" t="str">
        <f t="shared" ca="1" si="122"/>
        <v>CN</v>
      </c>
      <c r="T886" s="181" t="str">
        <f ca="1">IF(B886="","",IF(ISERROR(MATCH($J886,SorP!$B$1:$B$6226,0)),"",INDIRECT("'SorP'!$A$"&amp;MATCH($S886&amp;$J886,SorP!C:C,0))))</f>
        <v>CN-JX</v>
      </c>
      <c r="U886" s="201"/>
      <c r="V886" s="226" t="e">
        <f>IF(C886="",NA(),IF(OR(C886="Smelter not listed",C886="Smelter not yet identified"),MATCH($B886&amp;$D886,'Smelter Look-up'!$J:$J,0),MATCH($B886&amp;$C886,'Smelter Look-up'!$J:$J,0)))</f>
        <v>#N/A</v>
      </c>
      <c r="X886" s="227">
        <f t="shared" si="123"/>
        <v>0</v>
      </c>
      <c r="AB886" s="228" t="str">
        <f t="shared" si="124"/>
        <v>TinHuichang Shun Tin Kam Industries, Ltd.</v>
      </c>
    </row>
    <row r="887" spans="1:28" s="227" customFormat="1" ht="94.5">
      <c r="A887" s="301" t="s">
        <v>16625</v>
      </c>
      <c r="B887" s="293" t="s">
        <v>1120</v>
      </c>
      <c r="C887" s="294" t="s">
        <v>16628</v>
      </c>
      <c r="D887" s="295" t="s">
        <v>16627</v>
      </c>
      <c r="E887" s="293" t="s">
        <v>1090</v>
      </c>
      <c r="F887" s="293" t="s">
        <v>16625</v>
      </c>
      <c r="G887" s="293" t="s">
        <v>15864</v>
      </c>
      <c r="H887" s="296" t="s">
        <v>15855</v>
      </c>
      <c r="I887" s="297" t="s">
        <v>1759</v>
      </c>
      <c r="J887" s="297" t="s">
        <v>16629</v>
      </c>
      <c r="K887" s="298" t="s">
        <v>15855</v>
      </c>
      <c r="L887" s="298" t="s">
        <v>15855</v>
      </c>
      <c r="M887" s="298" t="s">
        <v>15855</v>
      </c>
      <c r="N887" s="298" t="s">
        <v>15855</v>
      </c>
      <c r="O887" s="298" t="s">
        <v>15855</v>
      </c>
      <c r="P887" s="299" t="s">
        <v>15857</v>
      </c>
      <c r="Q887" s="300" t="s">
        <v>15855</v>
      </c>
      <c r="R887" s="182" t="str">
        <f ca="1">IF(ISERROR($V887),"",OFFSET('Smelter Look-up'!$C$4,$V887-4,0)&amp;"")</f>
        <v/>
      </c>
      <c r="S887" s="181" t="str">
        <f t="shared" ca="1" si="122"/>
        <v>CN</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si="123"/>
        <v>0</v>
      </c>
      <c r="AB887" s="228" t="str">
        <f t="shared" si="124"/>
        <v>TinJiangxi Shunda Huichang Kam Tin Co., Ltd.</v>
      </c>
    </row>
    <row r="888" spans="1:28" s="227" customFormat="1" ht="67.5">
      <c r="A888" s="301" t="s">
        <v>16630</v>
      </c>
      <c r="B888" s="293" t="s">
        <v>1120</v>
      </c>
      <c r="C888" s="294" t="s">
        <v>16631</v>
      </c>
      <c r="D888" s="295" t="s">
        <v>16632</v>
      </c>
      <c r="E888" s="293" t="s">
        <v>1090</v>
      </c>
      <c r="F888" s="293" t="s">
        <v>16630</v>
      </c>
      <c r="G888" s="293" t="s">
        <v>15865</v>
      </c>
      <c r="H888" s="296" t="s">
        <v>15855</v>
      </c>
      <c r="I888" s="297" t="s">
        <v>1727</v>
      </c>
      <c r="J888" s="297" t="s">
        <v>16629</v>
      </c>
      <c r="K888" s="298" t="s">
        <v>15855</v>
      </c>
      <c r="L888" s="298" t="s">
        <v>15855</v>
      </c>
      <c r="M888" s="298" t="s">
        <v>15855</v>
      </c>
      <c r="N888" s="298" t="s">
        <v>15855</v>
      </c>
      <c r="O888" s="298" t="s">
        <v>15855</v>
      </c>
      <c r="P888" s="299" t="s">
        <v>15857</v>
      </c>
      <c r="Q888" s="300" t="s">
        <v>15855</v>
      </c>
      <c r="R888" s="182" t="str">
        <f ca="1">IF(ISERROR($V888),"",OFFSET('Smelter Look-up'!$C$4,$V888-4,0)&amp;"")</f>
        <v/>
      </c>
      <c r="S888" s="181" t="str">
        <f t="shared" ca="1" si="122"/>
        <v>CN</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si="123"/>
        <v>0</v>
      </c>
      <c r="AB888" s="228" t="str">
        <f t="shared" si="124"/>
        <v>TinChina Rare Metal Material Co., Ltd.</v>
      </c>
    </row>
    <row r="889" spans="1:28" s="227" customFormat="1" ht="40.5">
      <c r="A889" s="301" t="s">
        <v>1774</v>
      </c>
      <c r="B889" s="293" t="s">
        <v>1120</v>
      </c>
      <c r="C889" s="294" t="s">
        <v>2214</v>
      </c>
      <c r="D889" s="295" t="s">
        <v>13158</v>
      </c>
      <c r="E889" s="293" t="s">
        <v>1090</v>
      </c>
      <c r="F889" s="293" t="s">
        <v>1774</v>
      </c>
      <c r="G889" s="293" t="s">
        <v>13217</v>
      </c>
      <c r="H889" s="296" t="s">
        <v>15855</v>
      </c>
      <c r="I889" s="297" t="s">
        <v>1759</v>
      </c>
      <c r="J889" s="297" t="s">
        <v>13596</v>
      </c>
      <c r="K889" s="298" t="s">
        <v>15855</v>
      </c>
      <c r="L889" s="298" t="s">
        <v>15855</v>
      </c>
      <c r="M889" s="298" t="s">
        <v>15855</v>
      </c>
      <c r="N889" s="298" t="s">
        <v>15855</v>
      </c>
      <c r="O889" s="298" t="s">
        <v>15855</v>
      </c>
      <c r="P889" s="299" t="s">
        <v>15857</v>
      </c>
      <c r="Q889" s="300" t="s">
        <v>15855</v>
      </c>
      <c r="R889" s="182" t="str">
        <f ca="1">IF(ISERROR($V889),"",OFFSET('Smelter Look-up'!$C$4,$V889-4,0)&amp;"")</f>
        <v>Jiangxi New Nanshan Technology Ltd.</v>
      </c>
      <c r="S889" s="181" t="str">
        <f t="shared" ca="1" si="122"/>
        <v>CN</v>
      </c>
      <c r="T889" s="181" t="str">
        <f ca="1">IF(B889="","",IF(ISERROR(MATCH($J889,SorP!$B$1:$B$6226,0)),"",INDIRECT("'SorP'!$A$"&amp;MATCH($S889&amp;$J889,SorP!C:C,0))))</f>
        <v>CN-JX</v>
      </c>
      <c r="U889" s="201"/>
      <c r="V889" s="226">
        <f>IF(C889="",NA(),IF(OR(C889="Smelter not listed",C889="Smelter not yet identified"),MATCH($B889&amp;$D889,'Smelter Look-up'!$J:$J,0),MATCH($B889&amp;$C889,'Smelter Look-up'!$J:$J,0)))</f>
        <v>463</v>
      </c>
      <c r="X889" s="227">
        <f t="shared" si="123"/>
        <v>0</v>
      </c>
      <c r="AB889" s="228" t="str">
        <f t="shared" si="124"/>
        <v>TinJiangxi Nanshan</v>
      </c>
    </row>
    <row r="890" spans="1:28" s="227" customFormat="1" ht="67.5">
      <c r="A890" s="301" t="s">
        <v>1774</v>
      </c>
      <c r="B890" s="293" t="s">
        <v>1120</v>
      </c>
      <c r="C890" s="294" t="s">
        <v>13158</v>
      </c>
      <c r="D890" s="295" t="s">
        <v>13158</v>
      </c>
      <c r="E890" s="293" t="s">
        <v>1090</v>
      </c>
      <c r="F890" s="293" t="s">
        <v>1774</v>
      </c>
      <c r="G890" s="293" t="s">
        <v>13217</v>
      </c>
      <c r="H890" s="296" t="s">
        <v>15855</v>
      </c>
      <c r="I890" s="297" t="s">
        <v>1759</v>
      </c>
      <c r="J890" s="297" t="s">
        <v>13596</v>
      </c>
      <c r="K890" s="298" t="s">
        <v>15855</v>
      </c>
      <c r="L890" s="298" t="s">
        <v>15855</v>
      </c>
      <c r="M890" s="298" t="s">
        <v>15855</v>
      </c>
      <c r="N890" s="298" t="s">
        <v>15855</v>
      </c>
      <c r="O890" s="298" t="s">
        <v>15855</v>
      </c>
      <c r="P890" s="299" t="s">
        <v>15857</v>
      </c>
      <c r="Q890" s="300" t="s">
        <v>15855</v>
      </c>
      <c r="R890" s="182" t="str">
        <f ca="1">IF(ISERROR($V890),"",OFFSET('Smelter Look-up'!$C$4,$V890-4,0)&amp;"")</f>
        <v>Jiangxi New Nanshan Technology Ltd.</v>
      </c>
      <c r="S890" s="181" t="str">
        <f t="shared" ca="1" si="122"/>
        <v>CN</v>
      </c>
      <c r="T890" s="181" t="str">
        <f ca="1">IF(B890="","",IF(ISERROR(MATCH($J890,SorP!$B$1:$B$6226,0)),"",INDIRECT("'SorP'!$A$"&amp;MATCH($S890&amp;$J890,SorP!C:C,0))))</f>
        <v>CN-JX</v>
      </c>
      <c r="U890" s="201"/>
      <c r="V890" s="226">
        <f>IF(C890="",NA(),IF(OR(C890="Smelter not listed",C890="Smelter not yet identified"),MATCH($B890&amp;$D890,'Smelter Look-up'!$J:$J,0),MATCH($B890&amp;$C890,'Smelter Look-up'!$J:$J,0)))</f>
        <v>464</v>
      </c>
      <c r="X890" s="227">
        <f t="shared" si="123"/>
        <v>0</v>
      </c>
      <c r="AB890" s="228" t="str">
        <f t="shared" si="124"/>
        <v>TinJiangxi New Nanshan Technology Ltd.</v>
      </c>
    </row>
    <row r="891" spans="1:28" s="227" customFormat="1" ht="67.5">
      <c r="A891" s="301" t="s">
        <v>1774</v>
      </c>
      <c r="B891" s="293" t="s">
        <v>1120</v>
      </c>
      <c r="C891" s="294" t="s">
        <v>13158</v>
      </c>
      <c r="D891" s="295" t="s">
        <v>13158</v>
      </c>
      <c r="E891" s="293" t="s">
        <v>1090</v>
      </c>
      <c r="F891" s="293" t="s">
        <v>1774</v>
      </c>
      <c r="G891" s="293" t="s">
        <v>13217</v>
      </c>
      <c r="H891" s="296" t="s">
        <v>15855</v>
      </c>
      <c r="I891" s="297" t="s">
        <v>1759</v>
      </c>
      <c r="J891" s="297" t="s">
        <v>13596</v>
      </c>
      <c r="K891" s="298" t="s">
        <v>15855</v>
      </c>
      <c r="L891" s="298" t="s">
        <v>15855</v>
      </c>
      <c r="M891" s="298" t="s">
        <v>15855</v>
      </c>
      <c r="N891" s="298" t="s">
        <v>15855</v>
      </c>
      <c r="O891" s="298" t="s">
        <v>15855</v>
      </c>
      <c r="P891" s="299" t="s">
        <v>15875</v>
      </c>
      <c r="Q891" s="300" t="s">
        <v>15855</v>
      </c>
      <c r="R891" s="182" t="str">
        <f ca="1">IF(ISERROR($V891),"",OFFSET('Smelter Look-up'!$C$4,$V891-4,0)&amp;"")</f>
        <v>Jiangxi New Nanshan Technology Ltd.</v>
      </c>
      <c r="S891" s="181" t="str">
        <f t="shared" ref="S891" ca="1" si="125">IF(B891="","",IF(ISERROR(MATCH($E891,CL,0)),"Unknown",INDIRECT("'C'!$A$"&amp;MATCH($E891,CL,0)+1)))</f>
        <v>CN</v>
      </c>
      <c r="T891" s="181" t="str">
        <f ca="1">IF(B891="","",IF(ISERROR(MATCH($J891,SorP!$B$1:$B$6226,0)),"",INDIRECT("'SorP'!$A$"&amp;MATCH($S891&amp;$J891,SorP!C:C,0))))</f>
        <v>CN-JX</v>
      </c>
      <c r="U891" s="201"/>
      <c r="V891" s="226">
        <f>IF(C891="",NA(),IF(OR(C891="Smelter not listed",C891="Smelter not yet identified"),MATCH($B891&amp;$D891,'Smelter Look-up'!$J:$J,0),MATCH($B891&amp;$C891,'Smelter Look-up'!$J:$J,0)))</f>
        <v>464</v>
      </c>
      <c r="X891" s="227">
        <f t="shared" ref="X891" si="126">IF(AND(C891="Smelter not listed",OR(LEN(D891)=0,LEN(E891)=0)),1,0)</f>
        <v>0</v>
      </c>
      <c r="AB891" s="228" t="str">
        <f t="shared" ref="AB891" si="127">B891&amp;C891</f>
        <v>TinJiangxi New Nanshan Technology Ltd.</v>
      </c>
    </row>
    <row r="892" spans="1:28" s="227" customFormat="1" ht="67.5">
      <c r="A892" s="301" t="s">
        <v>1774</v>
      </c>
      <c r="B892" s="293" t="s">
        <v>1120</v>
      </c>
      <c r="C892" s="294" t="s">
        <v>13158</v>
      </c>
      <c r="D892" s="295" t="s">
        <v>13158</v>
      </c>
      <c r="E892" s="293" t="s">
        <v>1090</v>
      </c>
      <c r="F892" s="293" t="s">
        <v>1774</v>
      </c>
      <c r="G892" s="293" t="s">
        <v>13217</v>
      </c>
      <c r="H892" s="296" t="s">
        <v>15855</v>
      </c>
      <c r="I892" s="297" t="s">
        <v>1759</v>
      </c>
      <c r="J892" s="297" t="s">
        <v>13596</v>
      </c>
      <c r="K892" s="298" t="s">
        <v>15855</v>
      </c>
      <c r="L892" s="298" t="s">
        <v>15855</v>
      </c>
      <c r="M892" s="298" t="s">
        <v>15855</v>
      </c>
      <c r="N892" s="298" t="s">
        <v>15855</v>
      </c>
      <c r="O892" s="298" t="s">
        <v>16633</v>
      </c>
      <c r="P892" s="299" t="s">
        <v>15857</v>
      </c>
      <c r="Q892" s="300" t="s">
        <v>15855</v>
      </c>
      <c r="R892" s="182" t="str">
        <f ca="1">IF(ISERROR($V892),"",OFFSET('Smelter Look-up'!$C$4,$V892-4,0)&amp;"")</f>
        <v>Jiangxi New Nanshan Technology Ltd.</v>
      </c>
      <c r="S892" s="181" t="str">
        <f t="shared" ref="S892:S923" ca="1" si="128">IF(B892="","",IF(ISERROR(MATCH($E892,CL,0)),"Unknown",INDIRECT("'C'!$A$"&amp;MATCH($E892,CL,0)+1)))</f>
        <v>CN</v>
      </c>
      <c r="T892" s="181" t="str">
        <f ca="1">IF(B892="","",IF(ISERROR(MATCH($J892,SorP!$B$1:$B$6226,0)),"",INDIRECT("'SorP'!$A$"&amp;MATCH($S892&amp;$J892,SorP!C:C,0))))</f>
        <v>CN-JX</v>
      </c>
      <c r="U892" s="201"/>
      <c r="V892" s="226">
        <f>IF(C892="",NA(),IF(OR(C892="Smelter not listed",C892="Smelter not yet identified"),MATCH($B892&amp;$D892,'Smelter Look-up'!$J:$J,0),MATCH($B892&amp;$C892,'Smelter Look-up'!$J:$J,0)))</f>
        <v>464</v>
      </c>
      <c r="X892" s="227">
        <f t="shared" ref="X892:X923" si="129">IF(AND(C892="Smelter not listed",OR(LEN(D892)=0,LEN(E892)=0)),1,0)</f>
        <v>0</v>
      </c>
      <c r="AB892" s="228" t="str">
        <f t="shared" ref="AB892:AB923" si="130">B892&amp;C892</f>
        <v>TinJiangxi New Nanshan Technology Ltd.</v>
      </c>
    </row>
    <row r="893" spans="1:28" s="227" customFormat="1" ht="67.5">
      <c r="A893" s="301" t="s">
        <v>1774</v>
      </c>
      <c r="B893" s="293" t="s">
        <v>1120</v>
      </c>
      <c r="C893" s="294" t="s">
        <v>13158</v>
      </c>
      <c r="D893" s="295" t="s">
        <v>13158</v>
      </c>
      <c r="E893" s="293" t="s">
        <v>1090</v>
      </c>
      <c r="F893" s="293" t="s">
        <v>1774</v>
      </c>
      <c r="G893" s="293" t="s">
        <v>13217</v>
      </c>
      <c r="H893" s="296" t="s">
        <v>15855</v>
      </c>
      <c r="I893" s="297" t="s">
        <v>1759</v>
      </c>
      <c r="J893" s="297" t="s">
        <v>13596</v>
      </c>
      <c r="K893" s="298" t="s">
        <v>16634</v>
      </c>
      <c r="L893" s="298" t="s">
        <v>16635</v>
      </c>
      <c r="M893" s="298" t="s">
        <v>15869</v>
      </c>
      <c r="N893" s="298" t="s">
        <v>15870</v>
      </c>
      <c r="O893" s="298" t="s">
        <v>16616</v>
      </c>
      <c r="P893" s="299" t="s">
        <v>15857</v>
      </c>
      <c r="Q893" s="300" t="s">
        <v>15855</v>
      </c>
      <c r="R893" s="182" t="str">
        <f ca="1">IF(ISERROR($V893),"",OFFSET('Smelter Look-up'!$C$4,$V893-4,0)&amp;"")</f>
        <v>Jiangxi New Nanshan Technology Ltd.</v>
      </c>
      <c r="S893" s="181" t="str">
        <f t="shared" ca="1" si="128"/>
        <v>CN</v>
      </c>
      <c r="T893" s="181" t="str">
        <f ca="1">IF(B893="","",IF(ISERROR(MATCH($J893,SorP!$B$1:$B$6226,0)),"",INDIRECT("'SorP'!$A$"&amp;MATCH($S893&amp;$J893,SorP!C:C,0))))</f>
        <v>CN-JX</v>
      </c>
      <c r="U893" s="201"/>
      <c r="V893" s="226">
        <f>IF(C893="",NA(),IF(OR(C893="Smelter not listed",C893="Smelter not yet identified"),MATCH($B893&amp;$D893,'Smelter Look-up'!$J:$J,0),MATCH($B893&amp;$C893,'Smelter Look-up'!$J:$J,0)))</f>
        <v>464</v>
      </c>
      <c r="X893" s="227">
        <f t="shared" si="129"/>
        <v>0</v>
      </c>
      <c r="AB893" s="228" t="str">
        <f t="shared" si="130"/>
        <v>TinJiangxi New Nanshan Technology Ltd.</v>
      </c>
    </row>
    <row r="894" spans="1:28" s="227" customFormat="1" ht="67.5">
      <c r="A894" s="301" t="s">
        <v>1774</v>
      </c>
      <c r="B894" s="293" t="s">
        <v>1120</v>
      </c>
      <c r="C894" s="294" t="s">
        <v>13158</v>
      </c>
      <c r="D894" s="295" t="s">
        <v>13158</v>
      </c>
      <c r="E894" s="293" t="s">
        <v>1090</v>
      </c>
      <c r="F894" s="293" t="s">
        <v>1774</v>
      </c>
      <c r="G894" s="293" t="s">
        <v>13217</v>
      </c>
      <c r="H894" s="302" t="s">
        <v>15880</v>
      </c>
      <c r="I894" s="297" t="s">
        <v>1759</v>
      </c>
      <c r="J894" s="297" t="s">
        <v>13596</v>
      </c>
      <c r="K894" s="298" t="s">
        <v>15855</v>
      </c>
      <c r="L894" s="298" t="s">
        <v>15855</v>
      </c>
      <c r="M894" s="298" t="s">
        <v>15855</v>
      </c>
      <c r="N894" s="298" t="s">
        <v>15855</v>
      </c>
      <c r="O894" s="298" t="s">
        <v>15855</v>
      </c>
      <c r="P894" s="299" t="s">
        <v>15857</v>
      </c>
      <c r="Q894" s="300" t="s">
        <v>15855</v>
      </c>
      <c r="R894" s="182" t="str">
        <f ca="1">IF(ISERROR($V894),"",OFFSET('Smelter Look-up'!$C$4,$V894-4,0)&amp;"")</f>
        <v>Jiangxi New Nanshan Technology Ltd.</v>
      </c>
      <c r="S894" s="181" t="str">
        <f t="shared" ca="1" si="128"/>
        <v>CN</v>
      </c>
      <c r="T894" s="181" t="str">
        <f ca="1">IF(B894="","",IF(ISERROR(MATCH($J894,SorP!$B$1:$B$6226,0)),"",INDIRECT("'SorP'!$A$"&amp;MATCH($S894&amp;$J894,SorP!C:C,0))))</f>
        <v>CN-JX</v>
      </c>
      <c r="U894" s="201"/>
      <c r="V894" s="226">
        <f>IF(C894="",NA(),IF(OR(C894="Smelter not listed",C894="Smelter not yet identified"),MATCH($B894&amp;$D894,'Smelter Look-up'!$J:$J,0),MATCH($B894&amp;$C894,'Smelter Look-up'!$J:$J,0)))</f>
        <v>464</v>
      </c>
      <c r="X894" s="227">
        <f t="shared" si="129"/>
        <v>0</v>
      </c>
      <c r="AB894" s="228" t="str">
        <f t="shared" si="130"/>
        <v>TinJiangxi New Nanshan Technology Ltd.</v>
      </c>
    </row>
    <row r="895" spans="1:28" s="227" customFormat="1" ht="94.5">
      <c r="A895" s="301" t="s">
        <v>1774</v>
      </c>
      <c r="B895" s="293" t="s">
        <v>1120</v>
      </c>
      <c r="C895" s="294" t="s">
        <v>2137</v>
      </c>
      <c r="D895" s="295" t="s">
        <v>13158</v>
      </c>
      <c r="E895" s="293" t="s">
        <v>1090</v>
      </c>
      <c r="F895" s="293" t="s">
        <v>1774</v>
      </c>
      <c r="G895" s="293" t="s">
        <v>13217</v>
      </c>
      <c r="H895" s="296" t="s">
        <v>15855</v>
      </c>
      <c r="I895" s="297" t="s">
        <v>1759</v>
      </c>
      <c r="J895" s="297" t="s">
        <v>13596</v>
      </c>
      <c r="K895" s="298" t="s">
        <v>15855</v>
      </c>
      <c r="L895" s="298" t="s">
        <v>15855</v>
      </c>
      <c r="M895" s="298" t="s">
        <v>15855</v>
      </c>
      <c r="N895" s="298" t="s">
        <v>15855</v>
      </c>
      <c r="O895" s="298" t="s">
        <v>15855</v>
      </c>
      <c r="P895" s="299" t="s">
        <v>15857</v>
      </c>
      <c r="Q895" s="300" t="s">
        <v>15855</v>
      </c>
      <c r="R895" s="182" t="str">
        <f ca="1">IF(ISERROR($V895),"",OFFSET('Smelter Look-up'!$C$4,$V895-4,0)&amp;"")</f>
        <v>Jiangxi New Nanshan Technology Ltd.</v>
      </c>
      <c r="S895" s="181" t="str">
        <f t="shared" ca="1" si="128"/>
        <v>CN</v>
      </c>
      <c r="T895" s="181" t="str">
        <f ca="1">IF(B895="","",IF(ISERROR(MATCH($J895,SorP!$B$1:$B$6226,0)),"",INDIRECT("'SorP'!$A$"&amp;MATCH($S895&amp;$J895,SorP!C:C,0))))</f>
        <v>CN-JX</v>
      </c>
      <c r="U895" s="201"/>
      <c r="V895" s="226">
        <f>IF(C895="",NA(),IF(OR(C895="Smelter not listed",C895="Smelter not yet identified"),MATCH($B895&amp;$D895,'Smelter Look-up'!$J:$J,0),MATCH($B895&amp;$C895,'Smelter Look-up'!$J:$J,0)))</f>
        <v>491</v>
      </c>
      <c r="X895" s="227">
        <f t="shared" si="129"/>
        <v>0</v>
      </c>
      <c r="AB895" s="228" t="str">
        <f t="shared" si="130"/>
        <v>TinNankang Nanshan Tin Manufactory Co., Ltd.</v>
      </c>
    </row>
    <row r="896" spans="1:28" s="227" customFormat="1" ht="40.5">
      <c r="A896" s="301" t="s">
        <v>1774</v>
      </c>
      <c r="B896" s="293" t="s">
        <v>1120</v>
      </c>
      <c r="C896" s="294" t="s">
        <v>1775</v>
      </c>
      <c r="D896" s="295" t="s">
        <v>13158</v>
      </c>
      <c r="E896" s="293" t="s">
        <v>1090</v>
      </c>
      <c r="F896" s="293" t="s">
        <v>1774</v>
      </c>
      <c r="G896" s="293" t="s">
        <v>13217</v>
      </c>
      <c r="H896" s="296" t="s">
        <v>15855</v>
      </c>
      <c r="I896" s="297" t="s">
        <v>1759</v>
      </c>
      <c r="J896" s="297" t="s">
        <v>13596</v>
      </c>
      <c r="K896" s="298" t="s">
        <v>15855</v>
      </c>
      <c r="L896" s="298" t="s">
        <v>15855</v>
      </c>
      <c r="M896" s="298" t="s">
        <v>15855</v>
      </c>
      <c r="N896" s="298" t="s">
        <v>15855</v>
      </c>
      <c r="O896" s="298" t="s">
        <v>15855</v>
      </c>
      <c r="P896" s="299" t="s">
        <v>15857</v>
      </c>
      <c r="Q896" s="300" t="s">
        <v>15855</v>
      </c>
      <c r="R896" s="182" t="str">
        <f ca="1">IF(ISERROR($V896),"",OFFSET('Smelter Look-up'!$C$4,$V896-4,0)&amp;"")</f>
        <v>Jiangxi New Nanshan Technology Ltd.</v>
      </c>
      <c r="S896" s="181" t="str">
        <f t="shared" ca="1" si="128"/>
        <v>CN</v>
      </c>
      <c r="T896" s="181" t="str">
        <f ca="1">IF(B896="","",IF(ISERROR(MATCH($J896,SorP!$B$1:$B$6226,0)),"",INDIRECT("'SorP'!$A$"&amp;MATCH($S896&amp;$J896,SorP!C:C,0))))</f>
        <v>CN-JX</v>
      </c>
      <c r="U896" s="201"/>
      <c r="V896" s="226">
        <f>IF(C896="",NA(),IF(OR(C896="Smelter not listed",C896="Smelter not yet identified"),MATCH($B896&amp;$D896,'Smelter Look-up'!$J:$J,0),MATCH($B896&amp;$C896,'Smelter Look-up'!$J:$J,0)))</f>
        <v>492</v>
      </c>
      <c r="X896" s="227">
        <f t="shared" si="129"/>
        <v>0</v>
      </c>
      <c r="AB896" s="228" t="str">
        <f t="shared" si="130"/>
        <v>TinNanshan Tin Co. Ltd.</v>
      </c>
    </row>
    <row r="897" spans="1:28" s="227" customFormat="1" ht="67.5">
      <c r="A897" s="301" t="s">
        <v>15855</v>
      </c>
      <c r="B897" s="293" t="s">
        <v>1120</v>
      </c>
      <c r="C897" s="294" t="s">
        <v>1312</v>
      </c>
      <c r="D897" s="295" t="s">
        <v>16636</v>
      </c>
      <c r="E897" s="293" t="s">
        <v>1101</v>
      </c>
      <c r="F897" s="293" t="s">
        <v>15855</v>
      </c>
      <c r="G897" s="293" t="s">
        <v>15855</v>
      </c>
      <c r="H897" s="296" t="s">
        <v>15855</v>
      </c>
      <c r="I897" s="297" t="s">
        <v>15855</v>
      </c>
      <c r="J897" s="297" t="s">
        <v>15855</v>
      </c>
      <c r="K897" s="298" t="s">
        <v>15855</v>
      </c>
      <c r="L897" s="298" t="s">
        <v>15855</v>
      </c>
      <c r="M897" s="298" t="s">
        <v>15855</v>
      </c>
      <c r="N897" s="298" t="s">
        <v>15855</v>
      </c>
      <c r="O897" s="298" t="s">
        <v>15855</v>
      </c>
      <c r="P897" s="299" t="s">
        <v>15857</v>
      </c>
      <c r="Q897" s="300" t="s">
        <v>15855</v>
      </c>
      <c r="R897" s="182" t="str">
        <f ca="1">IF(ISERROR($V897),"",OFFSET('Smelter Look-up'!$C$4,$V897-4,0)&amp;"")</f>
        <v/>
      </c>
      <c r="S897" s="181" t="str">
        <f t="shared" ca="1" si="128"/>
        <v>KR</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si="129"/>
        <v>0</v>
      </c>
      <c r="AB897" s="228" t="str">
        <f t="shared" si="130"/>
        <v>TinSmelter not yet identified</v>
      </c>
    </row>
    <row r="898" spans="1:28" s="227" customFormat="1" ht="40.5">
      <c r="A898" s="301" t="s">
        <v>13840</v>
      </c>
      <c r="B898" s="293" t="s">
        <v>1120</v>
      </c>
      <c r="C898" s="294" t="s">
        <v>13826</v>
      </c>
      <c r="D898" s="295" t="s">
        <v>13826</v>
      </c>
      <c r="E898" s="293" t="s">
        <v>13082</v>
      </c>
      <c r="F898" s="293" t="s">
        <v>13840</v>
      </c>
      <c r="G898" s="293" t="s">
        <v>13217</v>
      </c>
      <c r="H898" s="296" t="s">
        <v>15855</v>
      </c>
      <c r="I898" s="297" t="s">
        <v>13851</v>
      </c>
      <c r="J898" s="297" t="s">
        <v>10043</v>
      </c>
      <c r="K898" s="298" t="s">
        <v>15855</v>
      </c>
      <c r="L898" s="298" t="s">
        <v>15855</v>
      </c>
      <c r="M898" s="298" t="s">
        <v>15855</v>
      </c>
      <c r="N898" s="298" t="s">
        <v>15855</v>
      </c>
      <c r="O898" s="298" t="s">
        <v>15855</v>
      </c>
      <c r="P898" s="299" t="s">
        <v>15857</v>
      </c>
      <c r="Q898" s="300" t="s">
        <v>15855</v>
      </c>
      <c r="R898" s="182" t="str">
        <f ca="1">IF(ISERROR($V898),"",OFFSET('Smelter Look-up'!$C$4,$V898-4,0)&amp;"")</f>
        <v>Luna Smelter, Ltd.</v>
      </c>
      <c r="S898" s="181" t="str">
        <f t="shared" ca="1" si="128"/>
        <v>RW</v>
      </c>
      <c r="T898" s="181" t="str">
        <f ca="1">IF(B898="","",IF(ISERROR(MATCH($J898,SorP!$B$1:$B$6226,0)),"",INDIRECT("'SorP'!$A$"&amp;MATCH($S898&amp;$J898,SorP!C:C,0))))</f>
        <v>RW-01</v>
      </c>
      <c r="U898" s="201"/>
      <c r="V898" s="226">
        <f>IF(C898="",NA(),IF(OR(C898="Smelter not listed",C898="Smelter not yet identified"),MATCH($B898&amp;$D898,'Smelter Look-up'!$J:$J,0),MATCH($B898&amp;$C898,'Smelter Look-up'!$J:$J,0)))</f>
        <v>471</v>
      </c>
      <c r="X898" s="227">
        <f t="shared" si="129"/>
        <v>0</v>
      </c>
      <c r="AB898" s="228" t="str">
        <f t="shared" si="130"/>
        <v>TinLuna Smelter, Ltd.</v>
      </c>
    </row>
    <row r="899" spans="1:28" s="227" customFormat="1" ht="40.5">
      <c r="A899" s="301" t="s">
        <v>13840</v>
      </c>
      <c r="B899" s="293" t="s">
        <v>1120</v>
      </c>
      <c r="C899" s="294" t="s">
        <v>13826</v>
      </c>
      <c r="D899" s="295" t="s">
        <v>13826</v>
      </c>
      <c r="E899" s="293" t="s">
        <v>13082</v>
      </c>
      <c r="F899" s="293" t="s">
        <v>13840</v>
      </c>
      <c r="G899" s="293" t="s">
        <v>13217</v>
      </c>
      <c r="H899" s="296" t="s">
        <v>15855</v>
      </c>
      <c r="I899" s="297" t="s">
        <v>13851</v>
      </c>
      <c r="J899" s="297" t="s">
        <v>10043</v>
      </c>
      <c r="K899" s="298" t="s">
        <v>15855</v>
      </c>
      <c r="L899" s="298" t="s">
        <v>15855</v>
      </c>
      <c r="M899" s="298" t="s">
        <v>15855</v>
      </c>
      <c r="N899" s="298" t="s">
        <v>15855</v>
      </c>
      <c r="O899" s="298" t="s">
        <v>15858</v>
      </c>
      <c r="P899" s="299" t="s">
        <v>15857</v>
      </c>
      <c r="Q899" s="300" t="s">
        <v>15855</v>
      </c>
      <c r="R899" s="182" t="str">
        <f ca="1">IF(ISERROR($V899),"",OFFSET('Smelter Look-up'!$C$4,$V899-4,0)&amp;"")</f>
        <v>Luna Smelter, Ltd.</v>
      </c>
      <c r="S899" s="181" t="str">
        <f t="shared" ca="1" si="128"/>
        <v>RW</v>
      </c>
      <c r="T899" s="181" t="str">
        <f ca="1">IF(B899="","",IF(ISERROR(MATCH($J899,SorP!$B$1:$B$6226,0)),"",INDIRECT("'SorP'!$A$"&amp;MATCH($S899&amp;$J899,SorP!C:C,0))))</f>
        <v>RW-01</v>
      </c>
      <c r="U899" s="201"/>
      <c r="V899" s="226">
        <f>IF(C899="",NA(),IF(OR(C899="Smelter not listed",C899="Smelter not yet identified"),MATCH($B899&amp;$D899,'Smelter Look-up'!$J:$J,0),MATCH($B899&amp;$C899,'Smelter Look-up'!$J:$J,0)))</f>
        <v>471</v>
      </c>
      <c r="X899" s="227">
        <f t="shared" si="129"/>
        <v>0</v>
      </c>
      <c r="AB899" s="228" t="str">
        <f t="shared" si="130"/>
        <v>TinLuna Smelter, Ltd.</v>
      </c>
    </row>
    <row r="900" spans="1:28" s="227" customFormat="1" ht="40.5">
      <c r="A900" s="301" t="s">
        <v>13840</v>
      </c>
      <c r="B900" s="293" t="s">
        <v>1120</v>
      </c>
      <c r="C900" s="294" t="s">
        <v>13826</v>
      </c>
      <c r="D900" s="295" t="s">
        <v>13826</v>
      </c>
      <c r="E900" s="293" t="s">
        <v>13082</v>
      </c>
      <c r="F900" s="293" t="s">
        <v>13840</v>
      </c>
      <c r="G900" s="293" t="s">
        <v>13217</v>
      </c>
      <c r="H900" s="296" t="s">
        <v>15855</v>
      </c>
      <c r="I900" s="297" t="s">
        <v>13851</v>
      </c>
      <c r="J900" s="297" t="s">
        <v>10043</v>
      </c>
      <c r="K900" s="298" t="s">
        <v>16637</v>
      </c>
      <c r="L900" s="298" t="s">
        <v>16638</v>
      </c>
      <c r="M900" s="298" t="s">
        <v>16639</v>
      </c>
      <c r="N900" s="298" t="s">
        <v>15870</v>
      </c>
      <c r="O900" s="298" t="s">
        <v>16640</v>
      </c>
      <c r="P900" s="299" t="s">
        <v>15857</v>
      </c>
      <c r="Q900" s="300" t="s">
        <v>15855</v>
      </c>
      <c r="R900" s="182" t="str">
        <f ca="1">IF(ISERROR($V900),"",OFFSET('Smelter Look-up'!$C$4,$V900-4,0)&amp;"")</f>
        <v>Luna Smelter, Ltd.</v>
      </c>
      <c r="S900" s="181" t="str">
        <f t="shared" ca="1" si="128"/>
        <v>RW</v>
      </c>
      <c r="T900" s="181" t="str">
        <f ca="1">IF(B900="","",IF(ISERROR(MATCH($J900,SorP!$B$1:$B$6226,0)),"",INDIRECT("'SorP'!$A$"&amp;MATCH($S900&amp;$J900,SorP!C:C,0))))</f>
        <v>RW-01</v>
      </c>
      <c r="U900" s="201"/>
      <c r="V900" s="226">
        <f>IF(C900="",NA(),IF(OR(C900="Smelter not listed",C900="Smelter not yet identified"),MATCH($B900&amp;$D900,'Smelter Look-up'!$J:$J,0),MATCH($B900&amp;$C900,'Smelter Look-up'!$J:$J,0)))</f>
        <v>471</v>
      </c>
      <c r="X900" s="227">
        <f t="shared" si="129"/>
        <v>0</v>
      </c>
      <c r="AB900" s="228" t="str">
        <f t="shared" si="130"/>
        <v>TinLuna Smelter, Ltd.</v>
      </c>
    </row>
    <row r="901" spans="1:28" s="227" customFormat="1" ht="40.5">
      <c r="A901" s="301" t="s">
        <v>13840</v>
      </c>
      <c r="B901" s="293" t="s">
        <v>1120</v>
      </c>
      <c r="C901" s="294" t="s">
        <v>13826</v>
      </c>
      <c r="D901" s="295" t="s">
        <v>13826</v>
      </c>
      <c r="E901" s="293" t="s">
        <v>13082</v>
      </c>
      <c r="F901" s="293" t="s">
        <v>13840</v>
      </c>
      <c r="G901" s="293" t="s">
        <v>13217</v>
      </c>
      <c r="H901" s="302" t="s">
        <v>15880</v>
      </c>
      <c r="I901" s="297" t="s">
        <v>13851</v>
      </c>
      <c r="J901" s="297" t="s">
        <v>10043</v>
      </c>
      <c r="K901" s="298" t="s">
        <v>15855</v>
      </c>
      <c r="L901" s="298" t="s">
        <v>15855</v>
      </c>
      <c r="M901" s="298" t="s">
        <v>15855</v>
      </c>
      <c r="N901" s="298" t="s">
        <v>15855</v>
      </c>
      <c r="O901" s="298" t="s">
        <v>15855</v>
      </c>
      <c r="P901" s="299" t="s">
        <v>15857</v>
      </c>
      <c r="Q901" s="300" t="s">
        <v>15855</v>
      </c>
      <c r="R901" s="182" t="str">
        <f ca="1">IF(ISERROR($V901),"",OFFSET('Smelter Look-up'!$C$4,$V901-4,0)&amp;"")</f>
        <v>Luna Smelter, Ltd.</v>
      </c>
      <c r="S901" s="181" t="str">
        <f t="shared" ca="1" si="128"/>
        <v>RW</v>
      </c>
      <c r="T901" s="181" t="str">
        <f ca="1">IF(B901="","",IF(ISERROR(MATCH($J901,SorP!$B$1:$B$6226,0)),"",INDIRECT("'SorP'!$A$"&amp;MATCH($S901&amp;$J901,SorP!C:C,0))))</f>
        <v>RW-01</v>
      </c>
      <c r="U901" s="201"/>
      <c r="V901" s="226">
        <f>IF(C901="",NA(),IF(OR(C901="Smelter not listed",C901="Smelter not yet identified"),MATCH($B901&amp;$D901,'Smelter Look-up'!$J:$J,0),MATCH($B901&amp;$C901,'Smelter Look-up'!$J:$J,0)))</f>
        <v>471</v>
      </c>
      <c r="X901" s="227">
        <f t="shared" si="129"/>
        <v>0</v>
      </c>
      <c r="AB901" s="228" t="str">
        <f t="shared" si="130"/>
        <v>TinLuna Smelter, Ltd.</v>
      </c>
    </row>
    <row r="902" spans="1:28" s="227" customFormat="1" ht="67.5">
      <c r="A902" s="301" t="s">
        <v>15815</v>
      </c>
      <c r="B902" s="293" t="s">
        <v>1120</v>
      </c>
      <c r="C902" s="294" t="s">
        <v>15814</v>
      </c>
      <c r="D902" s="295" t="s">
        <v>15814</v>
      </c>
      <c r="E902" s="293" t="s">
        <v>1090</v>
      </c>
      <c r="F902" s="293" t="s">
        <v>15815</v>
      </c>
      <c r="G902" s="293" t="s">
        <v>13217</v>
      </c>
      <c r="H902" s="296" t="s">
        <v>15855</v>
      </c>
      <c r="I902" s="297" t="s">
        <v>15829</v>
      </c>
      <c r="J902" s="297" t="s">
        <v>13594</v>
      </c>
      <c r="K902" s="298" t="s">
        <v>15855</v>
      </c>
      <c r="L902" s="298" t="s">
        <v>15855</v>
      </c>
      <c r="M902" s="298" t="s">
        <v>15855</v>
      </c>
      <c r="N902" s="298" t="s">
        <v>15855</v>
      </c>
      <c r="O902" s="298" t="s">
        <v>15855</v>
      </c>
      <c r="P902" s="299" t="s">
        <v>15857</v>
      </c>
      <c r="Q902" s="300" t="s">
        <v>15855</v>
      </c>
      <c r="R902" s="182" t="str">
        <f ca="1">IF(ISERROR($V902),"",OFFSET('Smelter Look-up'!$C$4,$V902-4,0)&amp;"")</f>
        <v>Ma'anshan Weitai Tin Co., Ltd.</v>
      </c>
      <c r="S902" s="181" t="str">
        <f t="shared" ca="1" si="128"/>
        <v>CN</v>
      </c>
      <c r="T902" s="181" t="str">
        <f ca="1">IF(B902="","",IF(ISERROR(MATCH($J902,SorP!$B$1:$B$6226,0)),"",INDIRECT("'SorP'!$A$"&amp;MATCH($S902&amp;$J902,SorP!C:C,0))))</f>
        <v>CN-AH</v>
      </c>
      <c r="U902" s="201"/>
      <c r="V902" s="226">
        <f>IF(C902="",NA(),IF(OR(C902="Smelter not listed",C902="Smelter not yet identified"),MATCH($B902&amp;$D902,'Smelter Look-up'!$J:$J,0),MATCH($B902&amp;$C902,'Smelter Look-up'!$J:$J,0)))</f>
        <v>472</v>
      </c>
      <c r="X902" s="227">
        <f t="shared" si="129"/>
        <v>0</v>
      </c>
      <c r="AB902" s="228" t="str">
        <f t="shared" si="130"/>
        <v>TinMa'anshan Weitai Tin Co., Ltd.</v>
      </c>
    </row>
    <row r="903" spans="1:28" s="227" customFormat="1" ht="67.5">
      <c r="A903" s="301" t="s">
        <v>15815</v>
      </c>
      <c r="B903" s="293" t="s">
        <v>1120</v>
      </c>
      <c r="C903" s="294" t="s">
        <v>15814</v>
      </c>
      <c r="D903" s="295" t="s">
        <v>15814</v>
      </c>
      <c r="E903" s="293" t="s">
        <v>1090</v>
      </c>
      <c r="F903" s="293" t="s">
        <v>15815</v>
      </c>
      <c r="G903" s="293" t="s">
        <v>13217</v>
      </c>
      <c r="H903" s="296" t="s">
        <v>15855</v>
      </c>
      <c r="I903" s="297" t="s">
        <v>15829</v>
      </c>
      <c r="J903" s="297" t="s">
        <v>13594</v>
      </c>
      <c r="K903" s="298" t="s">
        <v>15855</v>
      </c>
      <c r="L903" s="298" t="s">
        <v>15855</v>
      </c>
      <c r="M903" s="298" t="s">
        <v>15855</v>
      </c>
      <c r="N903" s="298" t="s">
        <v>15855</v>
      </c>
      <c r="O903" s="298" t="s">
        <v>15858</v>
      </c>
      <c r="P903" s="299" t="s">
        <v>15857</v>
      </c>
      <c r="Q903" s="300" t="s">
        <v>15855</v>
      </c>
      <c r="R903" s="182" t="str">
        <f ca="1">IF(ISERROR($V903),"",OFFSET('Smelter Look-up'!$C$4,$V903-4,0)&amp;"")</f>
        <v>Ma'anshan Weitai Tin Co., Ltd.</v>
      </c>
      <c r="S903" s="181" t="str">
        <f t="shared" ca="1" si="128"/>
        <v>CN</v>
      </c>
      <c r="T903" s="181" t="str">
        <f ca="1">IF(B903="","",IF(ISERROR(MATCH($J903,SorP!$B$1:$B$6226,0)),"",INDIRECT("'SorP'!$A$"&amp;MATCH($S903&amp;$J903,SorP!C:C,0))))</f>
        <v>CN-AH</v>
      </c>
      <c r="U903" s="201"/>
      <c r="V903" s="226">
        <f>IF(C903="",NA(),IF(OR(C903="Smelter not listed",C903="Smelter not yet identified"),MATCH($B903&amp;$D903,'Smelter Look-up'!$J:$J,0),MATCH($B903&amp;$C903,'Smelter Look-up'!$J:$J,0)))</f>
        <v>472</v>
      </c>
      <c r="X903" s="227">
        <f t="shared" si="129"/>
        <v>0</v>
      </c>
      <c r="AB903" s="228" t="str">
        <f t="shared" si="130"/>
        <v>TinMa'anshan Weitai Tin Co., Ltd.</v>
      </c>
    </row>
    <row r="904" spans="1:28" s="227" customFormat="1" ht="67.5">
      <c r="A904" s="301" t="s">
        <v>15815</v>
      </c>
      <c r="B904" s="293" t="s">
        <v>1120</v>
      </c>
      <c r="C904" s="294" t="s">
        <v>15814</v>
      </c>
      <c r="D904" s="295" t="s">
        <v>15814</v>
      </c>
      <c r="E904" s="293" t="s">
        <v>1090</v>
      </c>
      <c r="F904" s="293" t="s">
        <v>15815</v>
      </c>
      <c r="G904" s="293" t="s">
        <v>13217</v>
      </c>
      <c r="H904" s="296" t="s">
        <v>15855</v>
      </c>
      <c r="I904" s="297" t="s">
        <v>15829</v>
      </c>
      <c r="J904" s="297" t="s">
        <v>13594</v>
      </c>
      <c r="K904" s="298" t="s">
        <v>16641</v>
      </c>
      <c r="L904" s="298" t="s">
        <v>16642</v>
      </c>
      <c r="M904" s="298" t="s">
        <v>15892</v>
      </c>
      <c r="N904" s="298" t="s">
        <v>15876</v>
      </c>
      <c r="O904" s="298" t="s">
        <v>15879</v>
      </c>
      <c r="P904" s="299" t="s">
        <v>15875</v>
      </c>
      <c r="Q904" s="300" t="s">
        <v>15855</v>
      </c>
      <c r="R904" s="182" t="str">
        <f ca="1">IF(ISERROR($V904),"",OFFSET('Smelter Look-up'!$C$4,$V904-4,0)&amp;"")</f>
        <v>Ma'anshan Weitai Tin Co., Ltd.</v>
      </c>
      <c r="S904" s="181" t="str">
        <f t="shared" ca="1" si="128"/>
        <v>CN</v>
      </c>
      <c r="T904" s="181" t="str">
        <f ca="1">IF(B904="","",IF(ISERROR(MATCH($J904,SorP!$B$1:$B$6226,0)),"",INDIRECT("'SorP'!$A$"&amp;MATCH($S904&amp;$J904,SorP!C:C,0))))</f>
        <v>CN-AH</v>
      </c>
      <c r="U904" s="201"/>
      <c r="V904" s="226">
        <f>IF(C904="",NA(),IF(OR(C904="Smelter not listed",C904="Smelter not yet identified"),MATCH($B904&amp;$D904,'Smelter Look-up'!$J:$J,0),MATCH($B904&amp;$C904,'Smelter Look-up'!$J:$J,0)))</f>
        <v>472</v>
      </c>
      <c r="X904" s="227">
        <f t="shared" si="129"/>
        <v>0</v>
      </c>
      <c r="AB904" s="228" t="str">
        <f t="shared" si="130"/>
        <v>TinMa'anshan Weitai Tin Co., Ltd.</v>
      </c>
    </row>
    <row r="905" spans="1:28" s="227" customFormat="1" ht="67.5">
      <c r="A905" s="301" t="s">
        <v>15815</v>
      </c>
      <c r="B905" s="293" t="s">
        <v>1120</v>
      </c>
      <c r="C905" s="294" t="s">
        <v>15814</v>
      </c>
      <c r="D905" s="295" t="s">
        <v>15814</v>
      </c>
      <c r="E905" s="293" t="s">
        <v>1090</v>
      </c>
      <c r="F905" s="293" t="s">
        <v>15815</v>
      </c>
      <c r="G905" s="293" t="s">
        <v>13217</v>
      </c>
      <c r="H905" s="302" t="s">
        <v>15880</v>
      </c>
      <c r="I905" s="297" t="s">
        <v>15829</v>
      </c>
      <c r="J905" s="297" t="s">
        <v>13594</v>
      </c>
      <c r="K905" s="298" t="s">
        <v>15855</v>
      </c>
      <c r="L905" s="298" t="s">
        <v>15855</v>
      </c>
      <c r="M905" s="298" t="s">
        <v>15855</v>
      </c>
      <c r="N905" s="298" t="s">
        <v>15855</v>
      </c>
      <c r="O905" s="298" t="s">
        <v>15855</v>
      </c>
      <c r="P905" s="299" t="s">
        <v>15857</v>
      </c>
      <c r="Q905" s="300" t="s">
        <v>15855</v>
      </c>
      <c r="R905" s="182" t="str">
        <f ca="1">IF(ISERROR($V905),"",OFFSET('Smelter Look-up'!$C$4,$V905-4,0)&amp;"")</f>
        <v>Ma'anshan Weitai Tin Co., Ltd.</v>
      </c>
      <c r="S905" s="181" t="str">
        <f t="shared" ca="1" si="128"/>
        <v>CN</v>
      </c>
      <c r="T905" s="181" t="str">
        <f ca="1">IF(B905="","",IF(ISERROR(MATCH($J905,SorP!$B$1:$B$6226,0)),"",INDIRECT("'SorP'!$A$"&amp;MATCH($S905&amp;$J905,SorP!C:C,0))))</f>
        <v>CN-AH</v>
      </c>
      <c r="U905" s="201"/>
      <c r="V905" s="226">
        <f>IF(C905="",NA(),IF(OR(C905="Smelter not listed",C905="Smelter not yet identified"),MATCH($B905&amp;$D905,'Smelter Look-up'!$J:$J,0),MATCH($B905&amp;$C905,'Smelter Look-up'!$J:$J,0)))</f>
        <v>472</v>
      </c>
      <c r="X905" s="227">
        <f t="shared" si="129"/>
        <v>0</v>
      </c>
      <c r="AB905" s="228" t="str">
        <f t="shared" si="130"/>
        <v>TinMa'anshan Weitai Tin Co., Ltd.</v>
      </c>
    </row>
    <row r="906" spans="1:28" s="227" customFormat="1" ht="81">
      <c r="A906" s="301" t="s">
        <v>136</v>
      </c>
      <c r="B906" s="293" t="s">
        <v>1120</v>
      </c>
      <c r="C906" s="294" t="s">
        <v>2151</v>
      </c>
      <c r="D906" s="295" t="s">
        <v>2151</v>
      </c>
      <c r="E906" s="293" t="s">
        <v>1086</v>
      </c>
      <c r="F906" s="293" t="s">
        <v>136</v>
      </c>
      <c r="G906" s="293" t="s">
        <v>13217</v>
      </c>
      <c r="H906" s="296" t="s">
        <v>15855</v>
      </c>
      <c r="I906" s="297" t="s">
        <v>1709</v>
      </c>
      <c r="J906" s="297" t="s">
        <v>1540</v>
      </c>
      <c r="K906" s="298" t="s">
        <v>15855</v>
      </c>
      <c r="L906" s="298" t="s">
        <v>15855</v>
      </c>
      <c r="M906" s="298" t="s">
        <v>15855</v>
      </c>
      <c r="N906" s="298" t="s">
        <v>15855</v>
      </c>
      <c r="O906" s="298" t="s">
        <v>15855</v>
      </c>
      <c r="P906" s="299" t="s">
        <v>15857</v>
      </c>
      <c r="Q906" s="300" t="s">
        <v>15855</v>
      </c>
      <c r="R906" s="182" t="str">
        <f ca="1">IF(ISERROR($V906),"",OFFSET('Smelter Look-up'!$C$4,$V906-4,0)&amp;"")</f>
        <v>Magnu's Minerais Metais e Ligas Ltda.</v>
      </c>
      <c r="S906" s="181" t="str">
        <f t="shared" ca="1" si="128"/>
        <v>BR</v>
      </c>
      <c r="T906" s="181" t="str">
        <f ca="1">IF(B906="","",IF(ISERROR(MATCH($J906,SorP!$B$1:$B$6226,0)),"",INDIRECT("'SorP'!$A$"&amp;MATCH($S906&amp;$J906,SorP!C:C,0))))</f>
        <v>BR-MG</v>
      </c>
      <c r="U906" s="201"/>
      <c r="V906" s="226">
        <f>IF(C906="",NA(),IF(OR(C906="Smelter not listed",C906="Smelter not yet identified"),MATCH($B906&amp;$D906,'Smelter Look-up'!$J:$J,0),MATCH($B906&amp;$C906,'Smelter Look-up'!$J:$J,0)))</f>
        <v>473</v>
      </c>
      <c r="X906" s="227">
        <f t="shared" si="129"/>
        <v>0</v>
      </c>
      <c r="AB906" s="228" t="str">
        <f t="shared" si="130"/>
        <v>TinMagnu's Minerais Metais e Ligas Ltda.</v>
      </c>
    </row>
    <row r="907" spans="1:28" s="227" customFormat="1" ht="81">
      <c r="A907" s="301" t="s">
        <v>136</v>
      </c>
      <c r="B907" s="293" t="s">
        <v>1120</v>
      </c>
      <c r="C907" s="294" t="s">
        <v>2151</v>
      </c>
      <c r="D907" s="295" t="s">
        <v>2151</v>
      </c>
      <c r="E907" s="293" t="s">
        <v>1086</v>
      </c>
      <c r="F907" s="293" t="s">
        <v>136</v>
      </c>
      <c r="G907" s="293" t="s">
        <v>13217</v>
      </c>
      <c r="H907" s="296" t="s">
        <v>15855</v>
      </c>
      <c r="I907" s="297" t="s">
        <v>1709</v>
      </c>
      <c r="J907" s="297" t="s">
        <v>1540</v>
      </c>
      <c r="K907" s="298" t="s">
        <v>15855</v>
      </c>
      <c r="L907" s="298" t="s">
        <v>15855</v>
      </c>
      <c r="M907" s="298" t="s">
        <v>15855</v>
      </c>
      <c r="N907" s="298" t="s">
        <v>15855</v>
      </c>
      <c r="O907" s="298" t="s">
        <v>15925</v>
      </c>
      <c r="P907" s="299" t="s">
        <v>15857</v>
      </c>
      <c r="Q907" s="300" t="s">
        <v>15855</v>
      </c>
      <c r="R907" s="182" t="str">
        <f ca="1">IF(ISERROR($V907),"",OFFSET('Smelter Look-up'!$C$4,$V907-4,0)&amp;"")</f>
        <v>Magnu's Minerais Metais e Ligas Ltda.</v>
      </c>
      <c r="S907" s="181" t="str">
        <f t="shared" ca="1" si="128"/>
        <v>BR</v>
      </c>
      <c r="T907" s="181" t="str">
        <f ca="1">IF(B907="","",IF(ISERROR(MATCH($J907,SorP!$B$1:$B$6226,0)),"",INDIRECT("'SorP'!$A$"&amp;MATCH($S907&amp;$J907,SorP!C:C,0))))</f>
        <v>BR-MG</v>
      </c>
      <c r="U907" s="201"/>
      <c r="V907" s="226">
        <f>IF(C907="",NA(),IF(OR(C907="Smelter not listed",C907="Smelter not yet identified"),MATCH($B907&amp;$D907,'Smelter Look-up'!$J:$J,0),MATCH($B907&amp;$C907,'Smelter Look-up'!$J:$J,0)))</f>
        <v>473</v>
      </c>
      <c r="X907" s="227">
        <f t="shared" si="129"/>
        <v>0</v>
      </c>
      <c r="AB907" s="228" t="str">
        <f t="shared" si="130"/>
        <v>TinMagnu's Minerais Metais e Ligas Ltda.</v>
      </c>
    </row>
    <row r="908" spans="1:28" s="227" customFormat="1" ht="81">
      <c r="A908" s="301" t="s">
        <v>136</v>
      </c>
      <c r="B908" s="293" t="s">
        <v>1120</v>
      </c>
      <c r="C908" s="294" t="s">
        <v>2151</v>
      </c>
      <c r="D908" s="295" t="s">
        <v>2151</v>
      </c>
      <c r="E908" s="293" t="s">
        <v>1086</v>
      </c>
      <c r="F908" s="293" t="s">
        <v>136</v>
      </c>
      <c r="G908" s="293" t="s">
        <v>13217</v>
      </c>
      <c r="H908" s="296" t="s">
        <v>15855</v>
      </c>
      <c r="I908" s="297" t="s">
        <v>1709</v>
      </c>
      <c r="J908" s="297" t="s">
        <v>1540</v>
      </c>
      <c r="K908" s="298" t="s">
        <v>16643</v>
      </c>
      <c r="L908" s="298" t="s">
        <v>16644</v>
      </c>
      <c r="M908" s="298" t="s">
        <v>16645</v>
      </c>
      <c r="N908" s="298" t="s">
        <v>15870</v>
      </c>
      <c r="O908" s="298" t="s">
        <v>16616</v>
      </c>
      <c r="P908" s="299" t="s">
        <v>15857</v>
      </c>
      <c r="Q908" s="300" t="s">
        <v>15855</v>
      </c>
      <c r="R908" s="182" t="str">
        <f ca="1">IF(ISERROR($V908),"",OFFSET('Smelter Look-up'!$C$4,$V908-4,0)&amp;"")</f>
        <v>Magnu's Minerais Metais e Ligas Ltda.</v>
      </c>
      <c r="S908" s="181" t="str">
        <f t="shared" ca="1" si="128"/>
        <v>BR</v>
      </c>
      <c r="T908" s="181" t="str">
        <f ca="1">IF(B908="","",IF(ISERROR(MATCH($J908,SorP!$B$1:$B$6226,0)),"",INDIRECT("'SorP'!$A$"&amp;MATCH($S908&amp;$J908,SorP!C:C,0))))</f>
        <v>BR-MG</v>
      </c>
      <c r="U908" s="201"/>
      <c r="V908" s="226">
        <f>IF(C908="",NA(),IF(OR(C908="Smelter not listed",C908="Smelter not yet identified"),MATCH($B908&amp;$D908,'Smelter Look-up'!$J:$J,0),MATCH($B908&amp;$C908,'Smelter Look-up'!$J:$J,0)))</f>
        <v>473</v>
      </c>
      <c r="X908" s="227">
        <f t="shared" si="129"/>
        <v>0</v>
      </c>
      <c r="AB908" s="228" t="str">
        <f t="shared" si="130"/>
        <v>TinMagnu's Minerais Metais e Ligas Ltda.</v>
      </c>
    </row>
    <row r="909" spans="1:28" s="227" customFormat="1" ht="81">
      <c r="A909" s="301" t="s">
        <v>136</v>
      </c>
      <c r="B909" s="293" t="s">
        <v>1120</v>
      </c>
      <c r="C909" s="294" t="s">
        <v>2151</v>
      </c>
      <c r="D909" s="295" t="s">
        <v>2151</v>
      </c>
      <c r="E909" s="293" t="s">
        <v>1086</v>
      </c>
      <c r="F909" s="293" t="s">
        <v>136</v>
      </c>
      <c r="G909" s="293" t="s">
        <v>13217</v>
      </c>
      <c r="H909" s="302" t="s">
        <v>15880</v>
      </c>
      <c r="I909" s="297" t="s">
        <v>1709</v>
      </c>
      <c r="J909" s="297" t="s">
        <v>1540</v>
      </c>
      <c r="K909" s="298" t="s">
        <v>15855</v>
      </c>
      <c r="L909" s="298" t="s">
        <v>15855</v>
      </c>
      <c r="M909" s="298" t="s">
        <v>15855</v>
      </c>
      <c r="N909" s="298" t="s">
        <v>15855</v>
      </c>
      <c r="O909" s="298" t="s">
        <v>15855</v>
      </c>
      <c r="P909" s="299" t="s">
        <v>15857</v>
      </c>
      <c r="Q909" s="300" t="s">
        <v>15855</v>
      </c>
      <c r="R909" s="182" t="str">
        <f ca="1">IF(ISERROR($V909),"",OFFSET('Smelter Look-up'!$C$4,$V909-4,0)&amp;"")</f>
        <v>Magnu's Minerais Metais e Ligas Ltda.</v>
      </c>
      <c r="S909" s="181" t="str">
        <f t="shared" ca="1" si="128"/>
        <v>BR</v>
      </c>
      <c r="T909" s="181" t="str">
        <f ca="1">IF(B909="","",IF(ISERROR(MATCH($J909,SorP!$B$1:$B$6226,0)),"",INDIRECT("'SorP'!$A$"&amp;MATCH($S909&amp;$J909,SorP!C:C,0))))</f>
        <v>BR-MG</v>
      </c>
      <c r="U909" s="201"/>
      <c r="V909" s="226">
        <f>IF(C909="",NA(),IF(OR(C909="Smelter not listed",C909="Smelter not yet identified"),MATCH($B909&amp;$D909,'Smelter Look-up'!$J:$J,0),MATCH($B909&amp;$C909,'Smelter Look-up'!$J:$J,0)))</f>
        <v>473</v>
      </c>
      <c r="X909" s="227">
        <f t="shared" si="129"/>
        <v>0</v>
      </c>
      <c r="AB909" s="228" t="str">
        <f t="shared" si="130"/>
        <v>TinMagnu's Minerais Metais e Ligas Ltda.</v>
      </c>
    </row>
    <row r="910" spans="1:28" s="227" customFormat="1" ht="81">
      <c r="A910" s="301" t="s">
        <v>766</v>
      </c>
      <c r="B910" s="293" t="s">
        <v>1120</v>
      </c>
      <c r="C910" s="294" t="s">
        <v>811</v>
      </c>
      <c r="D910" s="295" t="s">
        <v>811</v>
      </c>
      <c r="E910" s="293" t="s">
        <v>1105</v>
      </c>
      <c r="F910" s="293" t="s">
        <v>766</v>
      </c>
      <c r="G910" s="293" t="s">
        <v>15864</v>
      </c>
      <c r="H910" s="302" t="s">
        <v>15880</v>
      </c>
      <c r="I910" s="297" t="s">
        <v>1766</v>
      </c>
      <c r="J910" s="297" t="s">
        <v>8666</v>
      </c>
      <c r="K910" s="298" t="s">
        <v>15855</v>
      </c>
      <c r="L910" s="298" t="s">
        <v>15855</v>
      </c>
      <c r="M910" s="298" t="s">
        <v>15855</v>
      </c>
      <c r="N910" s="298" t="s">
        <v>15855</v>
      </c>
      <c r="O910" s="298" t="s">
        <v>15855</v>
      </c>
      <c r="P910" s="299" t="s">
        <v>15857</v>
      </c>
      <c r="Q910" s="300" t="s">
        <v>15855</v>
      </c>
      <c r="R910" s="182" t="str">
        <f ca="1">IF(ISERROR($V910),"",OFFSET('Smelter Look-up'!$C$4,$V910-4,0)&amp;"")</f>
        <v>Malaysia Smelting Corporation (MSC)</v>
      </c>
      <c r="S910" s="181" t="str">
        <f t="shared" ca="1" si="128"/>
        <v>MY</v>
      </c>
      <c r="T910" s="181" t="str">
        <f ca="1">IF(B910="","",IF(ISERROR(MATCH($J910,SorP!$B$1:$B$6226,0)),"",INDIRECT("'SorP'!$A$"&amp;MATCH($S910&amp;$J910,SorP!C:C,0))))</f>
        <v>MY-07</v>
      </c>
      <c r="U910" s="201"/>
      <c r="V910" s="226">
        <f>IF(C910="",NA(),IF(OR(C910="Smelter not listed",C910="Smelter not yet identified"),MATCH($B910&amp;$D910,'Smelter Look-up'!$J:$J,0),MATCH($B910&amp;$C910,'Smelter Look-up'!$J:$J,0)))</f>
        <v>474</v>
      </c>
      <c r="X910" s="227">
        <f t="shared" si="129"/>
        <v>0</v>
      </c>
      <c r="AB910" s="228" t="str">
        <f t="shared" si="130"/>
        <v>TinMalaysia Smelting Corporation (MSC)</v>
      </c>
    </row>
    <row r="911" spans="1:28" s="227" customFormat="1" ht="81">
      <c r="A911" s="301" t="s">
        <v>766</v>
      </c>
      <c r="B911" s="293" t="s">
        <v>1120</v>
      </c>
      <c r="C911" s="294" t="s">
        <v>811</v>
      </c>
      <c r="D911" s="295" t="s">
        <v>811</v>
      </c>
      <c r="E911" s="293" t="s">
        <v>1105</v>
      </c>
      <c r="F911" s="293" t="s">
        <v>766</v>
      </c>
      <c r="G911" s="293" t="s">
        <v>15865</v>
      </c>
      <c r="H911" s="296" t="s">
        <v>15855</v>
      </c>
      <c r="I911" s="297" t="s">
        <v>1766</v>
      </c>
      <c r="J911" s="297" t="s">
        <v>16646</v>
      </c>
      <c r="K911" s="298" t="s">
        <v>15855</v>
      </c>
      <c r="L911" s="298" t="s">
        <v>15855</v>
      </c>
      <c r="M911" s="298" t="s">
        <v>15855</v>
      </c>
      <c r="N911" s="298" t="s">
        <v>15855</v>
      </c>
      <c r="O911" s="298" t="s">
        <v>15855</v>
      </c>
      <c r="P911" s="299" t="s">
        <v>15857</v>
      </c>
      <c r="Q911" s="300" t="s">
        <v>15855</v>
      </c>
      <c r="R911" s="182" t="str">
        <f ca="1">IF(ISERROR($V911),"",OFFSET('Smelter Look-up'!$C$4,$V911-4,0)&amp;"")</f>
        <v>Malaysia Smelting Corporation (MSC)</v>
      </c>
      <c r="S911" s="181" t="str">
        <f t="shared" ca="1" si="128"/>
        <v>MY</v>
      </c>
      <c r="T911" s="181" t="str">
        <f ca="1">IF(B911="","",IF(ISERROR(MATCH($J911,SorP!$B$1:$B$6226,0)),"",INDIRECT("'SorP'!$A$"&amp;MATCH($S911&amp;$J911,SorP!C:C,0))))</f>
        <v/>
      </c>
      <c r="U911" s="201"/>
      <c r="V911" s="226">
        <f>IF(C911="",NA(),IF(OR(C911="Smelter not listed",C911="Smelter not yet identified"),MATCH($B911&amp;$D911,'Smelter Look-up'!$J:$J,0),MATCH($B911&amp;$C911,'Smelter Look-up'!$J:$J,0)))</f>
        <v>474</v>
      </c>
      <c r="X911" s="227">
        <f t="shared" si="129"/>
        <v>0</v>
      </c>
      <c r="AB911" s="228" t="str">
        <f t="shared" si="130"/>
        <v>TinMalaysia Smelting Corporation (MSC)</v>
      </c>
    </row>
    <row r="912" spans="1:28" s="227" customFormat="1" ht="81">
      <c r="A912" s="301" t="s">
        <v>766</v>
      </c>
      <c r="B912" s="293" t="s">
        <v>1120</v>
      </c>
      <c r="C912" s="294" t="s">
        <v>811</v>
      </c>
      <c r="D912" s="295" t="s">
        <v>811</v>
      </c>
      <c r="E912" s="293" t="s">
        <v>1105</v>
      </c>
      <c r="F912" s="293" t="s">
        <v>766</v>
      </c>
      <c r="G912" s="293" t="s">
        <v>15865</v>
      </c>
      <c r="H912" s="296" t="s">
        <v>15855</v>
      </c>
      <c r="I912" s="297" t="s">
        <v>1766</v>
      </c>
      <c r="J912" s="297" t="s">
        <v>16646</v>
      </c>
      <c r="K912" s="298" t="s">
        <v>16647</v>
      </c>
      <c r="L912" s="298" t="s">
        <v>16648</v>
      </c>
      <c r="M912" s="298" t="s">
        <v>15855</v>
      </c>
      <c r="N912" s="298" t="s">
        <v>16649</v>
      </c>
      <c r="O912" s="298" t="s">
        <v>1105</v>
      </c>
      <c r="P912" s="299" t="s">
        <v>15857</v>
      </c>
      <c r="Q912" s="300" t="s">
        <v>15855</v>
      </c>
      <c r="R912" s="182" t="str">
        <f ca="1">IF(ISERROR($V912),"",OFFSET('Smelter Look-up'!$C$4,$V912-4,0)&amp;"")</f>
        <v>Malaysia Smelting Corporation (MSC)</v>
      </c>
      <c r="S912" s="181" t="str">
        <f t="shared" ca="1" si="128"/>
        <v>MY</v>
      </c>
      <c r="T912" s="181" t="str">
        <f ca="1">IF(B912="","",IF(ISERROR(MATCH($J912,SorP!$B$1:$B$6226,0)),"",INDIRECT("'SorP'!$A$"&amp;MATCH($S912&amp;$J912,SorP!C:C,0))))</f>
        <v/>
      </c>
      <c r="U912" s="201"/>
      <c r="V912" s="226">
        <f>IF(C912="",NA(),IF(OR(C912="Smelter not listed",C912="Smelter not yet identified"),MATCH($B912&amp;$D912,'Smelter Look-up'!$J:$J,0),MATCH($B912&amp;$C912,'Smelter Look-up'!$J:$J,0)))</f>
        <v>474</v>
      </c>
      <c r="X912" s="227">
        <f t="shared" si="129"/>
        <v>0</v>
      </c>
      <c r="AB912" s="228" t="str">
        <f t="shared" si="130"/>
        <v>TinMalaysia Smelting Corporation (MSC)</v>
      </c>
    </row>
    <row r="913" spans="1:28" s="227" customFormat="1" ht="81">
      <c r="A913" s="301" t="s">
        <v>766</v>
      </c>
      <c r="B913" s="293" t="s">
        <v>1120</v>
      </c>
      <c r="C913" s="294" t="s">
        <v>811</v>
      </c>
      <c r="D913" s="295" t="s">
        <v>811</v>
      </c>
      <c r="E913" s="293" t="s">
        <v>1105</v>
      </c>
      <c r="F913" s="293" t="s">
        <v>766</v>
      </c>
      <c r="G913" s="293" t="s">
        <v>13217</v>
      </c>
      <c r="H913" s="296" t="s">
        <v>15855</v>
      </c>
      <c r="I913" s="297" t="s">
        <v>1766</v>
      </c>
      <c r="J913" s="297" t="s">
        <v>8666</v>
      </c>
      <c r="K913" s="298" t="s">
        <v>15855</v>
      </c>
      <c r="L913" s="298" t="s">
        <v>15855</v>
      </c>
      <c r="M913" s="298" t="s">
        <v>15855</v>
      </c>
      <c r="N913" s="298" t="s">
        <v>15855</v>
      </c>
      <c r="O913" s="298" t="s">
        <v>15855</v>
      </c>
      <c r="P913" s="299" t="s">
        <v>15857</v>
      </c>
      <c r="Q913" s="300" t="s">
        <v>15855</v>
      </c>
      <c r="R913" s="182" t="str">
        <f ca="1">IF(ISERROR($V913),"",OFFSET('Smelter Look-up'!$C$4,$V913-4,0)&amp;"")</f>
        <v>Malaysia Smelting Corporation (MSC)</v>
      </c>
      <c r="S913" s="181" t="str">
        <f t="shared" ca="1" si="128"/>
        <v>MY</v>
      </c>
      <c r="T913" s="181" t="str">
        <f ca="1">IF(B913="","",IF(ISERROR(MATCH($J913,SorP!$B$1:$B$6226,0)),"",INDIRECT("'SorP'!$A$"&amp;MATCH($S913&amp;$J913,SorP!C:C,0))))</f>
        <v>MY-07</v>
      </c>
      <c r="U913" s="201"/>
      <c r="V913" s="226">
        <f>IF(C913="",NA(),IF(OR(C913="Smelter not listed",C913="Smelter not yet identified"),MATCH($B913&amp;$D913,'Smelter Look-up'!$J:$J,0),MATCH($B913&amp;$C913,'Smelter Look-up'!$J:$J,0)))</f>
        <v>474</v>
      </c>
      <c r="X913" s="227">
        <f t="shared" si="129"/>
        <v>0</v>
      </c>
      <c r="AB913" s="228" t="str">
        <f t="shared" si="130"/>
        <v>TinMalaysia Smelting Corporation (MSC)</v>
      </c>
    </row>
    <row r="914" spans="1:28" s="227" customFormat="1" ht="81">
      <c r="A914" s="301" t="s">
        <v>766</v>
      </c>
      <c r="B914" s="293" t="s">
        <v>1120</v>
      </c>
      <c r="C914" s="294" t="s">
        <v>811</v>
      </c>
      <c r="D914" s="295" t="s">
        <v>811</v>
      </c>
      <c r="E914" s="293" t="s">
        <v>1105</v>
      </c>
      <c r="F914" s="293" t="s">
        <v>766</v>
      </c>
      <c r="G914" s="293" t="s">
        <v>13217</v>
      </c>
      <c r="H914" s="296" t="s">
        <v>15855</v>
      </c>
      <c r="I914" s="297" t="s">
        <v>1766</v>
      </c>
      <c r="J914" s="297" t="s">
        <v>8666</v>
      </c>
      <c r="K914" s="298" t="s">
        <v>15855</v>
      </c>
      <c r="L914" s="298" t="s">
        <v>15855</v>
      </c>
      <c r="M914" s="298" t="s">
        <v>15855</v>
      </c>
      <c r="N914" s="298" t="s">
        <v>15855</v>
      </c>
      <c r="O914" s="298" t="s">
        <v>15855</v>
      </c>
      <c r="P914" s="299" t="s">
        <v>15857</v>
      </c>
      <c r="Q914" s="300" t="s">
        <v>16531</v>
      </c>
      <c r="R914" s="182" t="str">
        <f ca="1">IF(ISERROR($V914),"",OFFSET('Smelter Look-up'!$C$4,$V914-4,0)&amp;"")</f>
        <v>Malaysia Smelting Corporation (MSC)</v>
      </c>
      <c r="S914" s="181" t="str">
        <f t="shared" ca="1" si="128"/>
        <v>MY</v>
      </c>
      <c r="T914" s="181" t="str">
        <f ca="1">IF(B914="","",IF(ISERROR(MATCH($J914,SorP!$B$1:$B$6226,0)),"",INDIRECT("'SorP'!$A$"&amp;MATCH($S914&amp;$J914,SorP!C:C,0))))</f>
        <v>MY-07</v>
      </c>
      <c r="U914" s="201"/>
      <c r="V914" s="226">
        <f>IF(C914="",NA(),IF(OR(C914="Smelter not listed",C914="Smelter not yet identified"),MATCH($B914&amp;$D914,'Smelter Look-up'!$J:$J,0),MATCH($B914&amp;$C914,'Smelter Look-up'!$J:$J,0)))</f>
        <v>474</v>
      </c>
      <c r="X914" s="227">
        <f t="shared" si="129"/>
        <v>0</v>
      </c>
      <c r="AB914" s="228" t="str">
        <f t="shared" si="130"/>
        <v>TinMalaysia Smelting Corporation (MSC)</v>
      </c>
    </row>
    <row r="915" spans="1:28" s="227" customFormat="1" ht="81">
      <c r="A915" s="301" t="s">
        <v>766</v>
      </c>
      <c r="B915" s="293" t="s">
        <v>1120</v>
      </c>
      <c r="C915" s="294" t="s">
        <v>811</v>
      </c>
      <c r="D915" s="295" t="s">
        <v>811</v>
      </c>
      <c r="E915" s="293" t="s">
        <v>1105</v>
      </c>
      <c r="F915" s="293" t="s">
        <v>766</v>
      </c>
      <c r="G915" s="293" t="s">
        <v>13217</v>
      </c>
      <c r="H915" s="296" t="s">
        <v>15855</v>
      </c>
      <c r="I915" s="297" t="s">
        <v>1766</v>
      </c>
      <c r="J915" s="297" t="s">
        <v>8666</v>
      </c>
      <c r="K915" s="298" t="s">
        <v>15855</v>
      </c>
      <c r="L915" s="298" t="s">
        <v>15855</v>
      </c>
      <c r="M915" s="298" t="s">
        <v>15855</v>
      </c>
      <c r="N915" s="298" t="s">
        <v>15855</v>
      </c>
      <c r="O915" s="298" t="s">
        <v>15855</v>
      </c>
      <c r="P915" s="299" t="s">
        <v>15875</v>
      </c>
      <c r="Q915" s="300" t="s">
        <v>15855</v>
      </c>
      <c r="R915" s="182" t="str">
        <f ca="1">IF(ISERROR($V915),"",OFFSET('Smelter Look-up'!$C$4,$V915-4,0)&amp;"")</f>
        <v>Malaysia Smelting Corporation (MSC)</v>
      </c>
      <c r="S915" s="181" t="str">
        <f t="shared" ca="1" si="128"/>
        <v>MY</v>
      </c>
      <c r="T915" s="181" t="str">
        <f ca="1">IF(B915="","",IF(ISERROR(MATCH($J915,SorP!$B$1:$B$6226,0)),"",INDIRECT("'SorP'!$A$"&amp;MATCH($S915&amp;$J915,SorP!C:C,0))))</f>
        <v>MY-07</v>
      </c>
      <c r="U915" s="201"/>
      <c r="V915" s="226">
        <f>IF(C915="",NA(),IF(OR(C915="Smelter not listed",C915="Smelter not yet identified"),MATCH($B915&amp;$D915,'Smelter Look-up'!$J:$J,0),MATCH($B915&amp;$C915,'Smelter Look-up'!$J:$J,0)))</f>
        <v>474</v>
      </c>
      <c r="X915" s="227">
        <f t="shared" si="129"/>
        <v>0</v>
      </c>
      <c r="AB915" s="228" t="str">
        <f t="shared" si="130"/>
        <v>TinMalaysia Smelting Corporation (MSC)</v>
      </c>
    </row>
    <row r="916" spans="1:28" s="227" customFormat="1" ht="81">
      <c r="A916" s="301" t="s">
        <v>766</v>
      </c>
      <c r="B916" s="293" t="s">
        <v>1120</v>
      </c>
      <c r="C916" s="294" t="s">
        <v>811</v>
      </c>
      <c r="D916" s="295" t="s">
        <v>811</v>
      </c>
      <c r="E916" s="293" t="s">
        <v>1105</v>
      </c>
      <c r="F916" s="293" t="s">
        <v>766</v>
      </c>
      <c r="G916" s="293" t="s">
        <v>13217</v>
      </c>
      <c r="H916" s="296" t="s">
        <v>15855</v>
      </c>
      <c r="I916" s="297" t="s">
        <v>1766</v>
      </c>
      <c r="J916" s="297" t="s">
        <v>8666</v>
      </c>
      <c r="K916" s="298" t="s">
        <v>15855</v>
      </c>
      <c r="L916" s="298" t="s">
        <v>15855</v>
      </c>
      <c r="M916" s="298" t="s">
        <v>15855</v>
      </c>
      <c r="N916" s="298" t="s">
        <v>15855</v>
      </c>
      <c r="O916" s="298" t="s">
        <v>16650</v>
      </c>
      <c r="P916" s="299" t="s">
        <v>15857</v>
      </c>
      <c r="Q916" s="300" t="s">
        <v>15855</v>
      </c>
      <c r="R916" s="182" t="str">
        <f ca="1">IF(ISERROR($V916),"",OFFSET('Smelter Look-up'!$C$4,$V916-4,0)&amp;"")</f>
        <v>Malaysia Smelting Corporation (MSC)</v>
      </c>
      <c r="S916" s="181" t="str">
        <f t="shared" ca="1" si="128"/>
        <v>MY</v>
      </c>
      <c r="T916" s="181" t="str">
        <f ca="1">IF(B916="","",IF(ISERROR(MATCH($J916,SorP!$B$1:$B$6226,0)),"",INDIRECT("'SorP'!$A$"&amp;MATCH($S916&amp;$J916,SorP!C:C,0))))</f>
        <v>MY-07</v>
      </c>
      <c r="U916" s="201"/>
      <c r="V916" s="226">
        <f>IF(C916="",NA(),IF(OR(C916="Smelter not listed",C916="Smelter not yet identified"),MATCH($B916&amp;$D916,'Smelter Look-up'!$J:$J,0),MATCH($B916&amp;$C916,'Smelter Look-up'!$J:$J,0)))</f>
        <v>474</v>
      </c>
      <c r="X916" s="227">
        <f t="shared" si="129"/>
        <v>0</v>
      </c>
      <c r="AB916" s="228" t="str">
        <f t="shared" si="130"/>
        <v>TinMalaysia Smelting Corporation (MSC)</v>
      </c>
    </row>
    <row r="917" spans="1:28" s="227" customFormat="1" ht="81">
      <c r="A917" s="301" t="s">
        <v>766</v>
      </c>
      <c r="B917" s="293" t="s">
        <v>1120</v>
      </c>
      <c r="C917" s="294" t="s">
        <v>811</v>
      </c>
      <c r="D917" s="295" t="s">
        <v>811</v>
      </c>
      <c r="E917" s="293" t="s">
        <v>1105</v>
      </c>
      <c r="F917" s="293" t="s">
        <v>766</v>
      </c>
      <c r="G917" s="293" t="s">
        <v>13217</v>
      </c>
      <c r="H917" s="296" t="s">
        <v>15855</v>
      </c>
      <c r="I917" s="297" t="s">
        <v>1766</v>
      </c>
      <c r="J917" s="297" t="s">
        <v>8666</v>
      </c>
      <c r="K917" s="298" t="s">
        <v>16651</v>
      </c>
      <c r="L917" s="298" t="s">
        <v>16652</v>
      </c>
      <c r="M917" s="298" t="s">
        <v>15855</v>
      </c>
      <c r="N917" s="298" t="s">
        <v>16653</v>
      </c>
      <c r="O917" s="298" t="s">
        <v>16654</v>
      </c>
      <c r="P917" s="299" t="s">
        <v>15857</v>
      </c>
      <c r="Q917" s="300" t="s">
        <v>16655</v>
      </c>
      <c r="R917" s="182" t="str">
        <f ca="1">IF(ISERROR($V917),"",OFFSET('Smelter Look-up'!$C$4,$V917-4,0)&amp;"")</f>
        <v>Malaysia Smelting Corporation (MSC)</v>
      </c>
      <c r="S917" s="181" t="str">
        <f t="shared" ca="1" si="128"/>
        <v>MY</v>
      </c>
      <c r="T917" s="181" t="str">
        <f ca="1">IF(B917="","",IF(ISERROR(MATCH($J917,SorP!$B$1:$B$6226,0)),"",INDIRECT("'SorP'!$A$"&amp;MATCH($S917&amp;$J917,SorP!C:C,0))))</f>
        <v>MY-07</v>
      </c>
      <c r="U917" s="201"/>
      <c r="V917" s="226">
        <f>IF(C917="",NA(),IF(OR(C917="Smelter not listed",C917="Smelter not yet identified"),MATCH($B917&amp;$D917,'Smelter Look-up'!$J:$J,0),MATCH($B917&amp;$C917,'Smelter Look-up'!$J:$J,0)))</f>
        <v>474</v>
      </c>
      <c r="X917" s="227">
        <f t="shared" si="129"/>
        <v>0</v>
      </c>
      <c r="AB917" s="228" t="str">
        <f t="shared" si="130"/>
        <v>TinMalaysia Smelting Corporation (MSC)</v>
      </c>
    </row>
    <row r="918" spans="1:28" s="227" customFormat="1" ht="81">
      <c r="A918" s="301" t="s">
        <v>766</v>
      </c>
      <c r="B918" s="293" t="s">
        <v>1120</v>
      </c>
      <c r="C918" s="294" t="s">
        <v>811</v>
      </c>
      <c r="D918" s="295" t="s">
        <v>811</v>
      </c>
      <c r="E918" s="293" t="s">
        <v>1105</v>
      </c>
      <c r="F918" s="293" t="s">
        <v>766</v>
      </c>
      <c r="G918" s="293" t="s">
        <v>13217</v>
      </c>
      <c r="H918" s="296" t="s">
        <v>15855</v>
      </c>
      <c r="I918" s="297" t="s">
        <v>1766</v>
      </c>
      <c r="J918" s="297" t="s">
        <v>8666</v>
      </c>
      <c r="K918" s="298" t="s">
        <v>16647</v>
      </c>
      <c r="L918" s="298" t="s">
        <v>16656</v>
      </c>
      <c r="M918" s="298" t="s">
        <v>16345</v>
      </c>
      <c r="N918" s="298" t="s">
        <v>16540</v>
      </c>
      <c r="O918" s="298" t="s">
        <v>16540</v>
      </c>
      <c r="P918" s="299" t="s">
        <v>15857</v>
      </c>
      <c r="Q918" s="300" t="s">
        <v>15855</v>
      </c>
      <c r="R918" s="182" t="str">
        <f ca="1">IF(ISERROR($V918),"",OFFSET('Smelter Look-up'!$C$4,$V918-4,0)&amp;"")</f>
        <v>Malaysia Smelting Corporation (MSC)</v>
      </c>
      <c r="S918" s="181" t="str">
        <f t="shared" ca="1" si="128"/>
        <v>MY</v>
      </c>
      <c r="T918" s="181" t="str">
        <f ca="1">IF(B918="","",IF(ISERROR(MATCH($J918,SorP!$B$1:$B$6226,0)),"",INDIRECT("'SorP'!$A$"&amp;MATCH($S918&amp;$J918,SorP!C:C,0))))</f>
        <v>MY-07</v>
      </c>
      <c r="U918" s="201"/>
      <c r="V918" s="226">
        <f>IF(C918="",NA(),IF(OR(C918="Smelter not listed",C918="Smelter not yet identified"),MATCH($B918&amp;$D918,'Smelter Look-up'!$J:$J,0),MATCH($B918&amp;$C918,'Smelter Look-up'!$J:$J,0)))</f>
        <v>474</v>
      </c>
      <c r="X918" s="227">
        <f t="shared" si="129"/>
        <v>0</v>
      </c>
      <c r="AB918" s="228" t="str">
        <f t="shared" si="130"/>
        <v>TinMalaysia Smelting Corporation (MSC)</v>
      </c>
    </row>
    <row r="919" spans="1:28" s="227" customFormat="1" ht="81">
      <c r="A919" s="301" t="s">
        <v>766</v>
      </c>
      <c r="B919" s="293" t="s">
        <v>1120</v>
      </c>
      <c r="C919" s="294" t="s">
        <v>811</v>
      </c>
      <c r="D919" s="295" t="s">
        <v>811</v>
      </c>
      <c r="E919" s="293" t="s">
        <v>1105</v>
      </c>
      <c r="F919" s="293" t="s">
        <v>766</v>
      </c>
      <c r="G919" s="293" t="s">
        <v>13217</v>
      </c>
      <c r="H919" s="296" t="s">
        <v>15855</v>
      </c>
      <c r="I919" s="297" t="s">
        <v>1766</v>
      </c>
      <c r="J919" s="297" t="s">
        <v>8666</v>
      </c>
      <c r="K919" s="298" t="s">
        <v>16657</v>
      </c>
      <c r="L919" s="298" t="s">
        <v>16656</v>
      </c>
      <c r="M919" s="298" t="s">
        <v>15869</v>
      </c>
      <c r="N919" s="298" t="s">
        <v>16658</v>
      </c>
      <c r="O919" s="298" t="s">
        <v>16659</v>
      </c>
      <c r="P919" s="299" t="s">
        <v>15857</v>
      </c>
      <c r="Q919" s="300" t="s">
        <v>15855</v>
      </c>
      <c r="R919" s="182" t="str">
        <f ca="1">IF(ISERROR($V919),"",OFFSET('Smelter Look-up'!$C$4,$V919-4,0)&amp;"")</f>
        <v>Malaysia Smelting Corporation (MSC)</v>
      </c>
      <c r="S919" s="181" t="str">
        <f t="shared" ca="1" si="128"/>
        <v>MY</v>
      </c>
      <c r="T919" s="181" t="str">
        <f ca="1">IF(B919="","",IF(ISERROR(MATCH($J919,SorP!$B$1:$B$6226,0)),"",INDIRECT("'SorP'!$A$"&amp;MATCH($S919&amp;$J919,SorP!C:C,0))))</f>
        <v>MY-07</v>
      </c>
      <c r="U919" s="201"/>
      <c r="V919" s="226">
        <f>IF(C919="",NA(),IF(OR(C919="Smelter not listed",C919="Smelter not yet identified"),MATCH($B919&amp;$D919,'Smelter Look-up'!$J:$J,0),MATCH($B919&amp;$C919,'Smelter Look-up'!$J:$J,0)))</f>
        <v>474</v>
      </c>
      <c r="X919" s="227">
        <f t="shared" si="129"/>
        <v>0</v>
      </c>
      <c r="AB919" s="228" t="str">
        <f t="shared" si="130"/>
        <v>TinMalaysia Smelting Corporation (MSC)</v>
      </c>
    </row>
    <row r="920" spans="1:28" s="227" customFormat="1" ht="81">
      <c r="A920" s="301" t="s">
        <v>766</v>
      </c>
      <c r="B920" s="293" t="s">
        <v>1120</v>
      </c>
      <c r="C920" s="294" t="s">
        <v>811</v>
      </c>
      <c r="D920" s="295" t="s">
        <v>811</v>
      </c>
      <c r="E920" s="293" t="s">
        <v>1105</v>
      </c>
      <c r="F920" s="293" t="s">
        <v>766</v>
      </c>
      <c r="G920" s="293" t="s">
        <v>13217</v>
      </c>
      <c r="H920" s="302" t="s">
        <v>15880</v>
      </c>
      <c r="I920" s="297" t="s">
        <v>1766</v>
      </c>
      <c r="J920" s="297" t="s">
        <v>8666</v>
      </c>
      <c r="K920" s="298" t="s">
        <v>15855</v>
      </c>
      <c r="L920" s="298" t="s">
        <v>15855</v>
      </c>
      <c r="M920" s="298" t="s">
        <v>15855</v>
      </c>
      <c r="N920" s="298" t="s">
        <v>15855</v>
      </c>
      <c r="O920" s="298" t="s">
        <v>15855</v>
      </c>
      <c r="P920" s="299" t="s">
        <v>15857</v>
      </c>
      <c r="Q920" s="300" t="s">
        <v>15855</v>
      </c>
      <c r="R920" s="182" t="str">
        <f ca="1">IF(ISERROR($V920),"",OFFSET('Smelter Look-up'!$C$4,$V920-4,0)&amp;"")</f>
        <v>Malaysia Smelting Corporation (MSC)</v>
      </c>
      <c r="S920" s="181" t="str">
        <f t="shared" ca="1" si="128"/>
        <v>MY</v>
      </c>
      <c r="T920" s="181" t="str">
        <f ca="1">IF(B920="","",IF(ISERROR(MATCH($J920,SorP!$B$1:$B$6226,0)),"",INDIRECT("'SorP'!$A$"&amp;MATCH($S920&amp;$J920,SorP!C:C,0))))</f>
        <v>MY-07</v>
      </c>
      <c r="U920" s="201"/>
      <c r="V920" s="226">
        <f>IF(C920="",NA(),IF(OR(C920="Smelter not listed",C920="Smelter not yet identified"),MATCH($B920&amp;$D920,'Smelter Look-up'!$J:$J,0),MATCH($B920&amp;$C920,'Smelter Look-up'!$J:$J,0)))</f>
        <v>474</v>
      </c>
      <c r="X920" s="227">
        <f t="shared" si="129"/>
        <v>0</v>
      </c>
      <c r="AB920" s="228" t="str">
        <f t="shared" si="130"/>
        <v>TinMalaysia Smelting Corporation (MSC)</v>
      </c>
    </row>
    <row r="921" spans="1:28" s="227" customFormat="1" ht="81">
      <c r="A921" s="301" t="s">
        <v>766</v>
      </c>
      <c r="B921" s="293" t="s">
        <v>1120</v>
      </c>
      <c r="C921" s="294" t="s">
        <v>811</v>
      </c>
      <c r="D921" s="295" t="s">
        <v>811</v>
      </c>
      <c r="E921" s="293" t="s">
        <v>1105</v>
      </c>
      <c r="F921" s="293" t="s">
        <v>766</v>
      </c>
      <c r="G921" s="293" t="s">
        <v>13217</v>
      </c>
      <c r="H921" s="302" t="s">
        <v>15880</v>
      </c>
      <c r="I921" s="297" t="s">
        <v>1766</v>
      </c>
      <c r="J921" s="297" t="s">
        <v>8666</v>
      </c>
      <c r="K921" s="298" t="s">
        <v>15855</v>
      </c>
      <c r="L921" s="298" t="s">
        <v>15855</v>
      </c>
      <c r="M921" s="298" t="s">
        <v>15855</v>
      </c>
      <c r="N921" s="298" t="s">
        <v>16660</v>
      </c>
      <c r="O921" s="298" t="s">
        <v>16661</v>
      </c>
      <c r="P921" s="299" t="s">
        <v>15857</v>
      </c>
      <c r="Q921" s="300" t="s">
        <v>15855</v>
      </c>
      <c r="R921" s="182" t="str">
        <f ca="1">IF(ISERROR($V921),"",OFFSET('Smelter Look-up'!$C$4,$V921-4,0)&amp;"")</f>
        <v>Malaysia Smelting Corporation (MSC)</v>
      </c>
      <c r="S921" s="181" t="str">
        <f t="shared" ca="1" si="128"/>
        <v>MY</v>
      </c>
      <c r="T921" s="181" t="str">
        <f ca="1">IF(B921="","",IF(ISERROR(MATCH($J921,SorP!$B$1:$B$6226,0)),"",INDIRECT("'SorP'!$A$"&amp;MATCH($S921&amp;$J921,SorP!C:C,0))))</f>
        <v>MY-07</v>
      </c>
      <c r="U921" s="201"/>
      <c r="V921" s="226">
        <f>IF(C921="",NA(),IF(OR(C921="Smelter not listed",C921="Smelter not yet identified"),MATCH($B921&amp;$D921,'Smelter Look-up'!$J:$J,0),MATCH($B921&amp;$C921,'Smelter Look-up'!$J:$J,0)))</f>
        <v>474</v>
      </c>
      <c r="X921" s="227">
        <f t="shared" si="129"/>
        <v>0</v>
      </c>
      <c r="AB921" s="228" t="str">
        <f t="shared" si="130"/>
        <v>TinMalaysia Smelting Corporation (MSC)</v>
      </c>
    </row>
    <row r="922" spans="1:28" s="227" customFormat="1" ht="81">
      <c r="A922" s="301" t="s">
        <v>766</v>
      </c>
      <c r="B922" s="293" t="s">
        <v>1120</v>
      </c>
      <c r="C922" s="294" t="s">
        <v>811</v>
      </c>
      <c r="D922" s="295" t="s">
        <v>811</v>
      </c>
      <c r="E922" s="293" t="s">
        <v>1105</v>
      </c>
      <c r="F922" s="293" t="s">
        <v>766</v>
      </c>
      <c r="G922" s="293" t="s">
        <v>13217</v>
      </c>
      <c r="H922" s="302" t="s">
        <v>15880</v>
      </c>
      <c r="I922" s="297" t="s">
        <v>1766</v>
      </c>
      <c r="J922" s="297" t="s">
        <v>8666</v>
      </c>
      <c r="K922" s="298" t="s">
        <v>15881</v>
      </c>
      <c r="L922" s="298" t="s">
        <v>15881</v>
      </c>
      <c r="M922" s="298" t="s">
        <v>12593</v>
      </c>
      <c r="N922" s="298" t="s">
        <v>15881</v>
      </c>
      <c r="O922" s="298" t="s">
        <v>15881</v>
      </c>
      <c r="P922" s="299" t="s">
        <v>15857</v>
      </c>
      <c r="Q922" s="300" t="s">
        <v>15855</v>
      </c>
      <c r="R922" s="182" t="str">
        <f ca="1">IF(ISERROR($V922),"",OFFSET('Smelter Look-up'!$C$4,$V922-4,0)&amp;"")</f>
        <v>Malaysia Smelting Corporation (MSC)</v>
      </c>
      <c r="S922" s="181" t="str">
        <f t="shared" ca="1" si="128"/>
        <v>MY</v>
      </c>
      <c r="T922" s="181" t="str">
        <f ca="1">IF(B922="","",IF(ISERROR(MATCH($J922,SorP!$B$1:$B$6226,0)),"",INDIRECT("'SorP'!$A$"&amp;MATCH($S922&amp;$J922,SorP!C:C,0))))</f>
        <v>MY-07</v>
      </c>
      <c r="U922" s="201"/>
      <c r="V922" s="226">
        <f>IF(C922="",NA(),IF(OR(C922="Smelter not listed",C922="Smelter not yet identified"),MATCH($B922&amp;$D922,'Smelter Look-up'!$J:$J,0),MATCH($B922&amp;$C922,'Smelter Look-up'!$J:$J,0)))</f>
        <v>474</v>
      </c>
      <c r="X922" s="227">
        <f t="shared" si="129"/>
        <v>0</v>
      </c>
      <c r="AB922" s="228" t="str">
        <f t="shared" si="130"/>
        <v>TinMalaysia Smelting Corporation (MSC)</v>
      </c>
    </row>
    <row r="923" spans="1:28" s="227" customFormat="1" ht="81">
      <c r="A923" s="301" t="s">
        <v>766</v>
      </c>
      <c r="B923" s="293" t="s">
        <v>1120</v>
      </c>
      <c r="C923" s="294" t="s">
        <v>811</v>
      </c>
      <c r="D923" s="295" t="s">
        <v>811</v>
      </c>
      <c r="E923" s="293" t="s">
        <v>1105</v>
      </c>
      <c r="F923" s="293" t="s">
        <v>766</v>
      </c>
      <c r="G923" s="293" t="s">
        <v>13217</v>
      </c>
      <c r="H923" s="302" t="s">
        <v>15880</v>
      </c>
      <c r="I923" s="297" t="s">
        <v>1766</v>
      </c>
      <c r="J923" s="297" t="s">
        <v>8666</v>
      </c>
      <c r="K923" s="298" t="s">
        <v>16662</v>
      </c>
      <c r="L923" s="298" t="s">
        <v>16663</v>
      </c>
      <c r="M923" s="298" t="s">
        <v>16345</v>
      </c>
      <c r="N923" s="298" t="s">
        <v>16540</v>
      </c>
      <c r="O923" s="298" t="s">
        <v>16540</v>
      </c>
      <c r="P923" s="299" t="s">
        <v>15857</v>
      </c>
      <c r="Q923" s="300" t="s">
        <v>16569</v>
      </c>
      <c r="R923" s="182" t="str">
        <f ca="1">IF(ISERROR($V923),"",OFFSET('Smelter Look-up'!$C$4,$V923-4,0)&amp;"")</f>
        <v>Malaysia Smelting Corporation (MSC)</v>
      </c>
      <c r="S923" s="181" t="str">
        <f t="shared" ca="1" si="128"/>
        <v>MY</v>
      </c>
      <c r="T923" s="181" t="str">
        <f ca="1">IF(B923="","",IF(ISERROR(MATCH($J923,SorP!$B$1:$B$6226,0)),"",INDIRECT("'SorP'!$A$"&amp;MATCH($S923&amp;$J923,SorP!C:C,0))))</f>
        <v>MY-07</v>
      </c>
      <c r="U923" s="201"/>
      <c r="V923" s="226">
        <f>IF(C923="",NA(),IF(OR(C923="Smelter not listed",C923="Smelter not yet identified"),MATCH($B923&amp;$D923,'Smelter Look-up'!$J:$J,0),MATCH($B923&amp;$C923,'Smelter Look-up'!$J:$J,0)))</f>
        <v>474</v>
      </c>
      <c r="X923" s="227">
        <f t="shared" si="129"/>
        <v>0</v>
      </c>
      <c r="AB923" s="228" t="str">
        <f t="shared" si="130"/>
        <v>TinMalaysia Smelting Corporation (MSC)</v>
      </c>
    </row>
    <row r="924" spans="1:28" s="227" customFormat="1" ht="81">
      <c r="A924" s="301" t="s">
        <v>766</v>
      </c>
      <c r="B924" s="293" t="s">
        <v>1120</v>
      </c>
      <c r="C924" s="294" t="s">
        <v>811</v>
      </c>
      <c r="D924" s="295" t="s">
        <v>811</v>
      </c>
      <c r="E924" s="293" t="s">
        <v>1105</v>
      </c>
      <c r="F924" s="293" t="s">
        <v>766</v>
      </c>
      <c r="G924" s="293" t="s">
        <v>13217</v>
      </c>
      <c r="H924" s="302" t="s">
        <v>15880</v>
      </c>
      <c r="I924" s="297" t="s">
        <v>1766</v>
      </c>
      <c r="J924" s="297" t="s">
        <v>8666</v>
      </c>
      <c r="K924" s="298" t="s">
        <v>16664</v>
      </c>
      <c r="L924" s="298" t="s">
        <v>16665</v>
      </c>
      <c r="M924" s="298" t="s">
        <v>12438</v>
      </c>
      <c r="N924" s="298" t="s">
        <v>12438</v>
      </c>
      <c r="O924" s="298" t="s">
        <v>16666</v>
      </c>
      <c r="P924" s="299" t="s">
        <v>15857</v>
      </c>
      <c r="Q924" s="300" t="s">
        <v>15855</v>
      </c>
      <c r="R924" s="182" t="str">
        <f ca="1">IF(ISERROR($V924),"",OFFSET('Smelter Look-up'!$C$4,$V924-4,0)&amp;"")</f>
        <v>Malaysia Smelting Corporation (MSC)</v>
      </c>
      <c r="S924" s="181" t="str">
        <f t="shared" ref="S924:S954" ca="1" si="131">IF(B924="","",IF(ISERROR(MATCH($E924,CL,0)),"Unknown",INDIRECT("'C'!$A$"&amp;MATCH($E924,CL,0)+1)))</f>
        <v>MY</v>
      </c>
      <c r="T924" s="181" t="str">
        <f ca="1">IF(B924="","",IF(ISERROR(MATCH($J924,SorP!$B$1:$B$6226,0)),"",INDIRECT("'SorP'!$A$"&amp;MATCH($S924&amp;$J924,SorP!C:C,0))))</f>
        <v>MY-07</v>
      </c>
      <c r="U924" s="201"/>
      <c r="V924" s="226">
        <f>IF(C924="",NA(),IF(OR(C924="Smelter not listed",C924="Smelter not yet identified"),MATCH($B924&amp;$D924,'Smelter Look-up'!$J:$J,0),MATCH($B924&amp;$C924,'Smelter Look-up'!$J:$J,0)))</f>
        <v>474</v>
      </c>
      <c r="X924" s="227">
        <f t="shared" ref="X924:X954" si="132">IF(AND(C924="Smelter not listed",OR(LEN(D924)=0,LEN(E924)=0)),1,0)</f>
        <v>0</v>
      </c>
      <c r="AB924" s="228" t="str">
        <f t="shared" ref="AB924:AB954" si="133">B924&amp;C924</f>
        <v>TinMalaysia Smelting Corporation (MSC)</v>
      </c>
    </row>
    <row r="925" spans="1:28" s="227" customFormat="1" ht="81">
      <c r="A925" s="301" t="s">
        <v>766</v>
      </c>
      <c r="B925" s="293" t="s">
        <v>1120</v>
      </c>
      <c r="C925" s="294" t="s">
        <v>811</v>
      </c>
      <c r="D925" s="295" t="s">
        <v>811</v>
      </c>
      <c r="E925" s="293" t="s">
        <v>1105</v>
      </c>
      <c r="F925" s="293" t="s">
        <v>766</v>
      </c>
      <c r="G925" s="293" t="s">
        <v>13217</v>
      </c>
      <c r="H925" s="296" t="s">
        <v>16667</v>
      </c>
      <c r="I925" s="297" t="s">
        <v>1766</v>
      </c>
      <c r="J925" s="297" t="s">
        <v>8666</v>
      </c>
      <c r="K925" s="298" t="s">
        <v>16662</v>
      </c>
      <c r="L925" s="298" t="s">
        <v>16663</v>
      </c>
      <c r="M925" s="298" t="s">
        <v>15855</v>
      </c>
      <c r="N925" s="298" t="s">
        <v>16540</v>
      </c>
      <c r="O925" s="298" t="s">
        <v>16540</v>
      </c>
      <c r="P925" s="299" t="s">
        <v>15857</v>
      </c>
      <c r="Q925" s="300" t="s">
        <v>15855</v>
      </c>
      <c r="R925" s="182" t="str">
        <f ca="1">IF(ISERROR($V925),"",OFFSET('Smelter Look-up'!$C$4,$V925-4,0)&amp;"")</f>
        <v>Malaysia Smelting Corporation (MSC)</v>
      </c>
      <c r="S925" s="181" t="str">
        <f t="shared" ca="1" si="131"/>
        <v>MY</v>
      </c>
      <c r="T925" s="181" t="str">
        <f ca="1">IF(B925="","",IF(ISERROR(MATCH($J925,SorP!$B$1:$B$6226,0)),"",INDIRECT("'SorP'!$A$"&amp;MATCH($S925&amp;$J925,SorP!C:C,0))))</f>
        <v>MY-07</v>
      </c>
      <c r="U925" s="201"/>
      <c r="V925" s="226">
        <f>IF(C925="",NA(),IF(OR(C925="Smelter not listed",C925="Smelter not yet identified"),MATCH($B925&amp;$D925,'Smelter Look-up'!$J:$J,0),MATCH($B925&amp;$C925,'Smelter Look-up'!$J:$J,0)))</f>
        <v>474</v>
      </c>
      <c r="X925" s="227">
        <f t="shared" si="132"/>
        <v>0</v>
      </c>
      <c r="AB925" s="228" t="str">
        <f t="shared" si="133"/>
        <v>TinMalaysia Smelting Corporation (MSC)</v>
      </c>
    </row>
    <row r="926" spans="1:28" s="227" customFormat="1" ht="81">
      <c r="A926" s="301" t="s">
        <v>766</v>
      </c>
      <c r="B926" s="293" t="s">
        <v>1120</v>
      </c>
      <c r="C926" s="294" t="s">
        <v>811</v>
      </c>
      <c r="D926" s="295" t="s">
        <v>811</v>
      </c>
      <c r="E926" s="293" t="s">
        <v>1105</v>
      </c>
      <c r="F926" s="293" t="s">
        <v>766</v>
      </c>
      <c r="G926" s="293" t="s">
        <v>13217</v>
      </c>
      <c r="H926" s="296" t="s">
        <v>16668</v>
      </c>
      <c r="I926" s="297" t="s">
        <v>1766</v>
      </c>
      <c r="J926" s="297" t="s">
        <v>8666</v>
      </c>
      <c r="K926" s="298" t="s">
        <v>16647</v>
      </c>
      <c r="L926" s="298" t="s">
        <v>16648</v>
      </c>
      <c r="M926" s="298" t="s">
        <v>15855</v>
      </c>
      <c r="N926" s="298" t="s">
        <v>16669</v>
      </c>
      <c r="O926" s="298" t="s">
        <v>1105</v>
      </c>
      <c r="P926" s="299" t="s">
        <v>15857</v>
      </c>
      <c r="Q926" s="300" t="s">
        <v>16611</v>
      </c>
      <c r="R926" s="182" t="str">
        <f ca="1">IF(ISERROR($V926),"",OFFSET('Smelter Look-up'!$C$4,$V926-4,0)&amp;"")</f>
        <v>Malaysia Smelting Corporation (MSC)</v>
      </c>
      <c r="S926" s="181" t="str">
        <f t="shared" ca="1" si="131"/>
        <v>MY</v>
      </c>
      <c r="T926" s="181" t="str">
        <f ca="1">IF(B926="","",IF(ISERROR(MATCH($J926,SorP!$B$1:$B$6226,0)),"",INDIRECT("'SorP'!$A$"&amp;MATCH($S926&amp;$J926,SorP!C:C,0))))</f>
        <v>MY-07</v>
      </c>
      <c r="U926" s="201"/>
      <c r="V926" s="226">
        <f>IF(C926="",NA(),IF(OR(C926="Smelter not listed",C926="Smelter not yet identified"),MATCH($B926&amp;$D926,'Smelter Look-up'!$J:$J,0),MATCH($B926&amp;$C926,'Smelter Look-up'!$J:$J,0)))</f>
        <v>474</v>
      </c>
      <c r="X926" s="227">
        <f t="shared" si="132"/>
        <v>0</v>
      </c>
      <c r="AB926" s="228" t="str">
        <f t="shared" si="133"/>
        <v>TinMalaysia Smelting Corporation (MSC)</v>
      </c>
    </row>
    <row r="927" spans="1:28" s="227" customFormat="1" ht="81">
      <c r="A927" s="301" t="s">
        <v>766</v>
      </c>
      <c r="B927" s="293" t="s">
        <v>1120</v>
      </c>
      <c r="C927" s="294" t="s">
        <v>811</v>
      </c>
      <c r="D927" s="295" t="s">
        <v>811</v>
      </c>
      <c r="E927" s="293" t="s">
        <v>1105</v>
      </c>
      <c r="F927" s="293" t="s">
        <v>766</v>
      </c>
      <c r="G927" s="293" t="s">
        <v>13217</v>
      </c>
      <c r="H927" s="296" t="s">
        <v>16668</v>
      </c>
      <c r="I927" s="297" t="s">
        <v>1766</v>
      </c>
      <c r="J927" s="297" t="s">
        <v>8666</v>
      </c>
      <c r="K927" s="298" t="s">
        <v>16647</v>
      </c>
      <c r="L927" s="298" t="s">
        <v>16648</v>
      </c>
      <c r="M927" s="298" t="s">
        <v>16670</v>
      </c>
      <c r="N927" s="298" t="s">
        <v>16669</v>
      </c>
      <c r="O927" s="298" t="s">
        <v>1105</v>
      </c>
      <c r="P927" s="299" t="s">
        <v>15857</v>
      </c>
      <c r="Q927" s="300" t="s">
        <v>16611</v>
      </c>
      <c r="R927" s="182" t="str">
        <f ca="1">IF(ISERROR($V927),"",OFFSET('Smelter Look-up'!$C$4,$V927-4,0)&amp;"")</f>
        <v>Malaysia Smelting Corporation (MSC)</v>
      </c>
      <c r="S927" s="181" t="str">
        <f t="shared" ca="1" si="131"/>
        <v>MY</v>
      </c>
      <c r="T927" s="181" t="str">
        <f ca="1">IF(B927="","",IF(ISERROR(MATCH($J927,SorP!$B$1:$B$6226,0)),"",INDIRECT("'SorP'!$A$"&amp;MATCH($S927&amp;$J927,SorP!C:C,0))))</f>
        <v>MY-07</v>
      </c>
      <c r="U927" s="201"/>
      <c r="V927" s="226">
        <f>IF(C927="",NA(),IF(OR(C927="Smelter not listed",C927="Smelter not yet identified"),MATCH($B927&amp;$D927,'Smelter Look-up'!$J:$J,0),MATCH($B927&amp;$C927,'Smelter Look-up'!$J:$J,0)))</f>
        <v>474</v>
      </c>
      <c r="X927" s="227">
        <f t="shared" si="132"/>
        <v>0</v>
      </c>
      <c r="AB927" s="228" t="str">
        <f t="shared" si="133"/>
        <v>TinMalaysia Smelting Corporation (MSC)</v>
      </c>
    </row>
    <row r="928" spans="1:28" s="227" customFormat="1" ht="94.5">
      <c r="A928" s="301" t="s">
        <v>766</v>
      </c>
      <c r="B928" s="293" t="s">
        <v>1120</v>
      </c>
      <c r="C928" s="294" t="s">
        <v>811</v>
      </c>
      <c r="D928" s="295" t="s">
        <v>811</v>
      </c>
      <c r="E928" s="293" t="s">
        <v>1105</v>
      </c>
      <c r="F928" s="293" t="s">
        <v>766</v>
      </c>
      <c r="G928" s="293" t="s">
        <v>13217</v>
      </c>
      <c r="H928" s="296" t="s">
        <v>16668</v>
      </c>
      <c r="I928" s="297" t="s">
        <v>1766</v>
      </c>
      <c r="J928" s="297" t="s">
        <v>8666</v>
      </c>
      <c r="K928" s="298" t="s">
        <v>16647</v>
      </c>
      <c r="L928" s="298" t="s">
        <v>16648</v>
      </c>
      <c r="M928" s="298" t="s">
        <v>16671</v>
      </c>
      <c r="N928" s="298" t="s">
        <v>16669</v>
      </c>
      <c r="O928" s="298" t="s">
        <v>1105</v>
      </c>
      <c r="P928" s="299" t="s">
        <v>15857</v>
      </c>
      <c r="Q928" s="300" t="s">
        <v>16672</v>
      </c>
      <c r="R928" s="182" t="str">
        <f ca="1">IF(ISERROR($V928),"",OFFSET('Smelter Look-up'!$C$4,$V928-4,0)&amp;"")</f>
        <v>Malaysia Smelting Corporation (MSC)</v>
      </c>
      <c r="S928" s="181" t="str">
        <f t="shared" ca="1" si="131"/>
        <v>MY</v>
      </c>
      <c r="T928" s="181" t="str">
        <f ca="1">IF(B928="","",IF(ISERROR(MATCH($J928,SorP!$B$1:$B$6226,0)),"",INDIRECT("'SorP'!$A$"&amp;MATCH($S928&amp;$J928,SorP!C:C,0))))</f>
        <v>MY-07</v>
      </c>
      <c r="U928" s="201"/>
      <c r="V928" s="226">
        <f>IF(C928="",NA(),IF(OR(C928="Smelter not listed",C928="Smelter not yet identified"),MATCH($B928&amp;$D928,'Smelter Look-up'!$J:$J,0),MATCH($B928&amp;$C928,'Smelter Look-up'!$J:$J,0)))</f>
        <v>474</v>
      </c>
      <c r="X928" s="227">
        <f t="shared" si="132"/>
        <v>0</v>
      </c>
      <c r="AB928" s="228" t="str">
        <f t="shared" si="133"/>
        <v>TinMalaysia Smelting Corporation (MSC)</v>
      </c>
    </row>
    <row r="929" spans="1:28" s="227" customFormat="1" ht="81">
      <c r="A929" s="301" t="s">
        <v>766</v>
      </c>
      <c r="B929" s="293" t="s">
        <v>1120</v>
      </c>
      <c r="C929" s="294" t="s">
        <v>811</v>
      </c>
      <c r="D929" s="295" t="s">
        <v>811</v>
      </c>
      <c r="E929" s="293" t="s">
        <v>1105</v>
      </c>
      <c r="F929" s="293" t="s">
        <v>766</v>
      </c>
      <c r="G929" s="293" t="s">
        <v>13217</v>
      </c>
      <c r="H929" s="296" t="s">
        <v>16668</v>
      </c>
      <c r="I929" s="297" t="s">
        <v>1766</v>
      </c>
      <c r="J929" s="297" t="s">
        <v>8666</v>
      </c>
      <c r="K929" s="298" t="s">
        <v>16647</v>
      </c>
      <c r="L929" s="298" t="s">
        <v>16648</v>
      </c>
      <c r="M929" s="298" t="s">
        <v>16673</v>
      </c>
      <c r="N929" s="298" t="s">
        <v>16669</v>
      </c>
      <c r="O929" s="298" t="s">
        <v>1105</v>
      </c>
      <c r="P929" s="299" t="s">
        <v>15857</v>
      </c>
      <c r="Q929" s="300" t="s">
        <v>16611</v>
      </c>
      <c r="R929" s="182" t="str">
        <f ca="1">IF(ISERROR($V929),"",OFFSET('Smelter Look-up'!$C$4,$V929-4,0)&amp;"")</f>
        <v>Malaysia Smelting Corporation (MSC)</v>
      </c>
      <c r="S929" s="181" t="str">
        <f t="shared" ca="1" si="131"/>
        <v>MY</v>
      </c>
      <c r="T929" s="181" t="str">
        <f ca="1">IF(B929="","",IF(ISERROR(MATCH($J929,SorP!$B$1:$B$6226,0)),"",INDIRECT("'SorP'!$A$"&amp;MATCH($S929&amp;$J929,SorP!C:C,0))))</f>
        <v>MY-07</v>
      </c>
      <c r="U929" s="201"/>
      <c r="V929" s="226">
        <f>IF(C929="",NA(),IF(OR(C929="Smelter not listed",C929="Smelter not yet identified"),MATCH($B929&amp;$D929,'Smelter Look-up'!$J:$J,0),MATCH($B929&amp;$C929,'Smelter Look-up'!$J:$J,0)))</f>
        <v>474</v>
      </c>
      <c r="X929" s="227">
        <f t="shared" si="132"/>
        <v>0</v>
      </c>
      <c r="AB929" s="228" t="str">
        <f t="shared" si="133"/>
        <v>TinMalaysia Smelting Corporation (MSC)</v>
      </c>
    </row>
    <row r="930" spans="1:28" s="227" customFormat="1" ht="81">
      <c r="A930" s="301" t="s">
        <v>766</v>
      </c>
      <c r="B930" s="293" t="s">
        <v>1120</v>
      </c>
      <c r="C930" s="294" t="s">
        <v>811</v>
      </c>
      <c r="D930" s="295" t="s">
        <v>811</v>
      </c>
      <c r="E930" s="293" t="s">
        <v>1105</v>
      </c>
      <c r="F930" s="293" t="s">
        <v>766</v>
      </c>
      <c r="G930" s="293" t="s">
        <v>13217</v>
      </c>
      <c r="H930" s="296" t="s">
        <v>16674</v>
      </c>
      <c r="I930" s="297" t="s">
        <v>1766</v>
      </c>
      <c r="J930" s="297" t="s">
        <v>8666</v>
      </c>
      <c r="K930" s="298" t="s">
        <v>16651</v>
      </c>
      <c r="L930" s="298" t="s">
        <v>16652</v>
      </c>
      <c r="M930" s="298" t="s">
        <v>12593</v>
      </c>
      <c r="N930" s="298" t="s">
        <v>16653</v>
      </c>
      <c r="O930" s="298" t="s">
        <v>16654</v>
      </c>
      <c r="P930" s="299" t="s">
        <v>15857</v>
      </c>
      <c r="Q930" s="300" t="s">
        <v>16675</v>
      </c>
      <c r="R930" s="182" t="str">
        <f ca="1">IF(ISERROR($V930),"",OFFSET('Smelter Look-up'!$C$4,$V930-4,0)&amp;"")</f>
        <v>Malaysia Smelting Corporation (MSC)</v>
      </c>
      <c r="S930" s="181" t="str">
        <f t="shared" ca="1" si="131"/>
        <v>MY</v>
      </c>
      <c r="T930" s="181" t="str">
        <f ca="1">IF(B930="","",IF(ISERROR(MATCH($J930,SorP!$B$1:$B$6226,0)),"",INDIRECT("'SorP'!$A$"&amp;MATCH($S930&amp;$J930,SorP!C:C,0))))</f>
        <v>MY-07</v>
      </c>
      <c r="U930" s="201"/>
      <c r="V930" s="226">
        <f>IF(C930="",NA(),IF(OR(C930="Smelter not listed",C930="Smelter not yet identified"),MATCH($B930&amp;$D930,'Smelter Look-up'!$J:$J,0),MATCH($B930&amp;$C930,'Smelter Look-up'!$J:$J,0)))</f>
        <v>474</v>
      </c>
      <c r="X930" s="227">
        <f t="shared" si="132"/>
        <v>0</v>
      </c>
      <c r="AB930" s="228" t="str">
        <f t="shared" si="133"/>
        <v>TinMalaysia Smelting Corporation (MSC)</v>
      </c>
    </row>
    <row r="931" spans="1:28" s="227" customFormat="1" ht="81">
      <c r="A931" s="301" t="s">
        <v>766</v>
      </c>
      <c r="B931" s="293" t="s">
        <v>1120</v>
      </c>
      <c r="C931" s="294" t="s">
        <v>811</v>
      </c>
      <c r="D931" s="295" t="s">
        <v>811</v>
      </c>
      <c r="E931" s="293" t="s">
        <v>1105</v>
      </c>
      <c r="F931" s="293" t="s">
        <v>766</v>
      </c>
      <c r="G931" s="293" t="s">
        <v>13217</v>
      </c>
      <c r="H931" s="296" t="s">
        <v>16676</v>
      </c>
      <c r="I931" s="297" t="s">
        <v>1766</v>
      </c>
      <c r="J931" s="297" t="s">
        <v>8666</v>
      </c>
      <c r="K931" s="298" t="s">
        <v>16651</v>
      </c>
      <c r="L931" s="298" t="s">
        <v>16652</v>
      </c>
      <c r="M931" s="298" t="s">
        <v>15855</v>
      </c>
      <c r="N931" s="298" t="s">
        <v>15855</v>
      </c>
      <c r="O931" s="298" t="s">
        <v>15855</v>
      </c>
      <c r="P931" s="299" t="s">
        <v>15857</v>
      </c>
      <c r="Q931" s="300" t="s">
        <v>15855</v>
      </c>
      <c r="R931" s="182" t="str">
        <f ca="1">IF(ISERROR($V931),"",OFFSET('Smelter Look-up'!$C$4,$V931-4,0)&amp;"")</f>
        <v>Malaysia Smelting Corporation (MSC)</v>
      </c>
      <c r="S931" s="181" t="str">
        <f t="shared" ca="1" si="131"/>
        <v>MY</v>
      </c>
      <c r="T931" s="181" t="str">
        <f ca="1">IF(B931="","",IF(ISERROR(MATCH($J931,SorP!$B$1:$B$6226,0)),"",INDIRECT("'SorP'!$A$"&amp;MATCH($S931&amp;$J931,SorP!C:C,0))))</f>
        <v>MY-07</v>
      </c>
      <c r="U931" s="201"/>
      <c r="V931" s="226">
        <f>IF(C931="",NA(),IF(OR(C931="Smelter not listed",C931="Smelter not yet identified"),MATCH($B931&amp;$D931,'Smelter Look-up'!$J:$J,0),MATCH($B931&amp;$C931,'Smelter Look-up'!$J:$J,0)))</f>
        <v>474</v>
      </c>
      <c r="X931" s="227">
        <f t="shared" si="132"/>
        <v>0</v>
      </c>
      <c r="AB931" s="228" t="str">
        <f t="shared" si="133"/>
        <v>TinMalaysia Smelting Corporation (MSC)</v>
      </c>
    </row>
    <row r="932" spans="1:28" s="227" customFormat="1" ht="20">
      <c r="A932" s="301" t="s">
        <v>766</v>
      </c>
      <c r="B932" s="293" t="s">
        <v>1120</v>
      </c>
      <c r="C932" s="294" t="s">
        <v>2217</v>
      </c>
      <c r="D932" s="295" t="s">
        <v>811</v>
      </c>
      <c r="E932" s="293" t="s">
        <v>1105</v>
      </c>
      <c r="F932" s="293" t="s">
        <v>766</v>
      </c>
      <c r="G932" s="293" t="s">
        <v>15865</v>
      </c>
      <c r="H932" s="296" t="s">
        <v>15855</v>
      </c>
      <c r="I932" s="297" t="s">
        <v>1766</v>
      </c>
      <c r="J932" s="297" t="s">
        <v>16646</v>
      </c>
      <c r="K932" s="298" t="s">
        <v>15855</v>
      </c>
      <c r="L932" s="298" t="s">
        <v>15855</v>
      </c>
      <c r="M932" s="298" t="s">
        <v>15855</v>
      </c>
      <c r="N932" s="298" t="s">
        <v>15855</v>
      </c>
      <c r="O932" s="298" t="s">
        <v>15855</v>
      </c>
      <c r="P932" s="299" t="s">
        <v>15857</v>
      </c>
      <c r="Q932" s="300" t="s">
        <v>15855</v>
      </c>
      <c r="R932" s="182" t="str">
        <f ca="1">IF(ISERROR($V932),"",OFFSET('Smelter Look-up'!$C$4,$V932-4,0)&amp;"")</f>
        <v>Malaysia Smelting Corporation (MSC)</v>
      </c>
      <c r="S932" s="181" t="str">
        <f t="shared" ca="1" si="131"/>
        <v>MY</v>
      </c>
      <c r="T932" s="181" t="str">
        <f ca="1">IF(B932="","",IF(ISERROR(MATCH($J932,SorP!$B$1:$B$6226,0)),"",INDIRECT("'SorP'!$A$"&amp;MATCH($S932&amp;$J932,SorP!C:C,0))))</f>
        <v/>
      </c>
      <c r="U932" s="201"/>
      <c r="V932" s="226">
        <f>IF(C932="",NA(),IF(OR(C932="Smelter not listed",C932="Smelter not yet identified"),MATCH($B932&amp;$D932,'Smelter Look-up'!$J:$J,0),MATCH($B932&amp;$C932,'Smelter Look-up'!$J:$J,0)))</f>
        <v>490</v>
      </c>
      <c r="X932" s="227">
        <f t="shared" si="132"/>
        <v>0</v>
      </c>
      <c r="AB932" s="228" t="str">
        <f t="shared" si="133"/>
        <v>TinMSC</v>
      </c>
    </row>
    <row r="933" spans="1:28" s="227" customFormat="1" ht="20">
      <c r="A933" s="301" t="s">
        <v>766</v>
      </c>
      <c r="B933" s="293" t="s">
        <v>1120</v>
      </c>
      <c r="C933" s="294" t="s">
        <v>2217</v>
      </c>
      <c r="D933" s="295" t="s">
        <v>811</v>
      </c>
      <c r="E933" s="293" t="s">
        <v>1105</v>
      </c>
      <c r="F933" s="293" t="s">
        <v>766</v>
      </c>
      <c r="G933" s="293" t="s">
        <v>13217</v>
      </c>
      <c r="H933" s="296" t="s">
        <v>15855</v>
      </c>
      <c r="I933" s="297" t="s">
        <v>1766</v>
      </c>
      <c r="J933" s="297" t="s">
        <v>8666</v>
      </c>
      <c r="K933" s="298" t="s">
        <v>15855</v>
      </c>
      <c r="L933" s="298" t="s">
        <v>15855</v>
      </c>
      <c r="M933" s="298" t="s">
        <v>15855</v>
      </c>
      <c r="N933" s="298" t="s">
        <v>15855</v>
      </c>
      <c r="O933" s="298" t="s">
        <v>15855</v>
      </c>
      <c r="P933" s="299" t="s">
        <v>15857</v>
      </c>
      <c r="Q933" s="300" t="s">
        <v>15855</v>
      </c>
      <c r="R933" s="182" t="str">
        <f ca="1">IF(ISERROR($V933),"",OFFSET('Smelter Look-up'!$C$4,$V933-4,0)&amp;"")</f>
        <v>Malaysia Smelting Corporation (MSC)</v>
      </c>
      <c r="S933" s="181" t="str">
        <f t="shared" ca="1" si="131"/>
        <v>MY</v>
      </c>
      <c r="T933" s="181" t="str">
        <f ca="1">IF(B933="","",IF(ISERROR(MATCH($J933,SorP!$B$1:$B$6226,0)),"",INDIRECT("'SorP'!$A$"&amp;MATCH($S933&amp;$J933,SorP!C:C,0))))</f>
        <v>MY-07</v>
      </c>
      <c r="U933" s="201"/>
      <c r="V933" s="226">
        <f>IF(C933="",NA(),IF(OR(C933="Smelter not listed",C933="Smelter not yet identified"),MATCH($B933&amp;$D933,'Smelter Look-up'!$J:$J,0),MATCH($B933&amp;$C933,'Smelter Look-up'!$J:$J,0)))</f>
        <v>490</v>
      </c>
      <c r="X933" s="227">
        <f t="shared" si="132"/>
        <v>0</v>
      </c>
      <c r="AB933" s="228" t="str">
        <f t="shared" si="133"/>
        <v>TinMSC</v>
      </c>
    </row>
    <row r="934" spans="1:28" s="227" customFormat="1" ht="20">
      <c r="A934" s="301" t="s">
        <v>766</v>
      </c>
      <c r="B934" s="293" t="s">
        <v>1120</v>
      </c>
      <c r="C934" s="294" t="s">
        <v>2217</v>
      </c>
      <c r="D934" s="295" t="s">
        <v>811</v>
      </c>
      <c r="E934" s="293" t="s">
        <v>1105</v>
      </c>
      <c r="F934" s="293" t="s">
        <v>766</v>
      </c>
      <c r="G934" s="293" t="s">
        <v>13217</v>
      </c>
      <c r="H934" s="302" t="s">
        <v>15880</v>
      </c>
      <c r="I934" s="297" t="s">
        <v>1766</v>
      </c>
      <c r="J934" s="297" t="s">
        <v>8666</v>
      </c>
      <c r="K934" s="298" t="s">
        <v>15855</v>
      </c>
      <c r="L934" s="298" t="s">
        <v>15855</v>
      </c>
      <c r="M934" s="298" t="s">
        <v>15855</v>
      </c>
      <c r="N934" s="298" t="s">
        <v>15855</v>
      </c>
      <c r="O934" s="298" t="s">
        <v>15855</v>
      </c>
      <c r="P934" s="299" t="s">
        <v>15857</v>
      </c>
      <c r="Q934" s="300" t="s">
        <v>15855</v>
      </c>
      <c r="R934" s="182" t="str">
        <f ca="1">IF(ISERROR($V934),"",OFFSET('Smelter Look-up'!$C$4,$V934-4,0)&amp;"")</f>
        <v>Malaysia Smelting Corporation (MSC)</v>
      </c>
      <c r="S934" s="181" t="str">
        <f t="shared" ca="1" si="131"/>
        <v>MY</v>
      </c>
      <c r="T934" s="181" t="str">
        <f ca="1">IF(B934="","",IF(ISERROR(MATCH($J934,SorP!$B$1:$B$6226,0)),"",INDIRECT("'SorP'!$A$"&amp;MATCH($S934&amp;$J934,SorP!C:C,0))))</f>
        <v>MY-07</v>
      </c>
      <c r="U934" s="201"/>
      <c r="V934" s="226">
        <f>IF(C934="",NA(),IF(OR(C934="Smelter not listed",C934="Smelter not yet identified"),MATCH($B934&amp;$D934,'Smelter Look-up'!$J:$J,0),MATCH($B934&amp;$C934,'Smelter Look-up'!$J:$J,0)))</f>
        <v>490</v>
      </c>
      <c r="X934" s="227">
        <f t="shared" si="132"/>
        <v>0</v>
      </c>
      <c r="AB934" s="228" t="str">
        <f t="shared" si="133"/>
        <v>TinMSC</v>
      </c>
    </row>
    <row r="935" spans="1:28" s="227" customFormat="1" ht="54">
      <c r="A935" s="301" t="s">
        <v>1314</v>
      </c>
      <c r="B935" s="293" t="s">
        <v>1120</v>
      </c>
      <c r="C935" s="294" t="s">
        <v>2322</v>
      </c>
      <c r="D935" s="295" t="s">
        <v>2322</v>
      </c>
      <c r="E935" s="293" t="s">
        <v>1086</v>
      </c>
      <c r="F935" s="293" t="s">
        <v>1314</v>
      </c>
      <c r="G935" s="293" t="s">
        <v>13217</v>
      </c>
      <c r="H935" s="296" t="s">
        <v>15855</v>
      </c>
      <c r="I935" s="297" t="s">
        <v>1752</v>
      </c>
      <c r="J935" s="297" t="s">
        <v>1756</v>
      </c>
      <c r="K935" s="298" t="s">
        <v>15855</v>
      </c>
      <c r="L935" s="298" t="s">
        <v>15855</v>
      </c>
      <c r="M935" s="298" t="s">
        <v>15855</v>
      </c>
      <c r="N935" s="298" t="s">
        <v>15855</v>
      </c>
      <c r="O935" s="298" t="s">
        <v>15855</v>
      </c>
      <c r="P935" s="299" t="s">
        <v>15857</v>
      </c>
      <c r="Q935" s="300" t="s">
        <v>15855</v>
      </c>
      <c r="R935" s="182" t="str">
        <f ca="1">IF(ISERROR($V935),"",OFFSET('Smelter Look-up'!$C$4,$V935-4,0)&amp;"")</f>
        <v>Melt Metais e Ligas S.A.</v>
      </c>
      <c r="S935" s="181" t="str">
        <f t="shared" ca="1" si="131"/>
        <v>BR</v>
      </c>
      <c r="T935" s="181" t="str">
        <f ca="1">IF(B935="","",IF(ISERROR(MATCH($J935,SorP!$B$1:$B$6226,0)),"",INDIRECT("'SorP'!$A$"&amp;MATCH($S935&amp;$J935,SorP!C:C,0))))</f>
        <v>BR-RO</v>
      </c>
      <c r="U935" s="201"/>
      <c r="V935" s="226">
        <f>IF(C935="",NA(),IF(OR(C935="Smelter not listed",C935="Smelter not yet identified"),MATCH($B935&amp;$D935,'Smelter Look-up'!$J:$J,0),MATCH($B935&amp;$C935,'Smelter Look-up'!$J:$J,0)))</f>
        <v>476</v>
      </c>
      <c r="X935" s="227">
        <f t="shared" si="132"/>
        <v>0</v>
      </c>
      <c r="AB935" s="228" t="str">
        <f t="shared" si="133"/>
        <v>TinMelt Metais e Ligas S.A.</v>
      </c>
    </row>
    <row r="936" spans="1:28" s="227" customFormat="1" ht="54">
      <c r="A936" s="301" t="s">
        <v>1314</v>
      </c>
      <c r="B936" s="293" t="s">
        <v>1120</v>
      </c>
      <c r="C936" s="294" t="s">
        <v>2322</v>
      </c>
      <c r="D936" s="295" t="s">
        <v>2322</v>
      </c>
      <c r="E936" s="293" t="s">
        <v>1086</v>
      </c>
      <c r="F936" s="293" t="s">
        <v>1314</v>
      </c>
      <c r="G936" s="293" t="s">
        <v>13217</v>
      </c>
      <c r="H936" s="296" t="s">
        <v>15855</v>
      </c>
      <c r="I936" s="297" t="s">
        <v>1752</v>
      </c>
      <c r="J936" s="297" t="s">
        <v>1756</v>
      </c>
      <c r="K936" s="298" t="s">
        <v>15855</v>
      </c>
      <c r="L936" s="298" t="s">
        <v>15855</v>
      </c>
      <c r="M936" s="298" t="s">
        <v>15855</v>
      </c>
      <c r="N936" s="298" t="s">
        <v>15855</v>
      </c>
      <c r="O936" s="298" t="s">
        <v>15858</v>
      </c>
      <c r="P936" s="299" t="s">
        <v>15857</v>
      </c>
      <c r="Q936" s="300" t="s">
        <v>15855</v>
      </c>
      <c r="R936" s="182" t="str">
        <f ca="1">IF(ISERROR($V936),"",OFFSET('Smelter Look-up'!$C$4,$V936-4,0)&amp;"")</f>
        <v>Melt Metais e Ligas S.A.</v>
      </c>
      <c r="S936" s="181" t="str">
        <f t="shared" ca="1" si="131"/>
        <v>BR</v>
      </c>
      <c r="T936" s="181" t="str">
        <f ca="1">IF(B936="","",IF(ISERROR(MATCH($J936,SorP!$B$1:$B$6226,0)),"",INDIRECT("'SorP'!$A$"&amp;MATCH($S936&amp;$J936,SorP!C:C,0))))</f>
        <v>BR-RO</v>
      </c>
      <c r="U936" s="201"/>
      <c r="V936" s="226">
        <f>IF(C936="",NA(),IF(OR(C936="Smelter not listed",C936="Smelter not yet identified"),MATCH($B936&amp;$D936,'Smelter Look-up'!$J:$J,0),MATCH($B936&amp;$C936,'Smelter Look-up'!$J:$J,0)))</f>
        <v>476</v>
      </c>
      <c r="X936" s="227">
        <f t="shared" si="132"/>
        <v>0</v>
      </c>
      <c r="AB936" s="228" t="str">
        <f t="shared" si="133"/>
        <v>TinMelt Metais e Ligas S.A.</v>
      </c>
    </row>
    <row r="937" spans="1:28" s="227" customFormat="1" ht="54">
      <c r="A937" s="301" t="s">
        <v>1314</v>
      </c>
      <c r="B937" s="293" t="s">
        <v>1120</v>
      </c>
      <c r="C937" s="294" t="s">
        <v>2322</v>
      </c>
      <c r="D937" s="295" t="s">
        <v>2322</v>
      </c>
      <c r="E937" s="293" t="s">
        <v>1086</v>
      </c>
      <c r="F937" s="293" t="s">
        <v>1314</v>
      </c>
      <c r="G937" s="293" t="s">
        <v>13217</v>
      </c>
      <c r="H937" s="302" t="s">
        <v>15880</v>
      </c>
      <c r="I937" s="297" t="s">
        <v>1752</v>
      </c>
      <c r="J937" s="297" t="s">
        <v>1756</v>
      </c>
      <c r="K937" s="298" t="s">
        <v>15855</v>
      </c>
      <c r="L937" s="298" t="s">
        <v>15855</v>
      </c>
      <c r="M937" s="298" t="s">
        <v>15855</v>
      </c>
      <c r="N937" s="298" t="s">
        <v>15855</v>
      </c>
      <c r="O937" s="298" t="s">
        <v>15855</v>
      </c>
      <c r="P937" s="299" t="s">
        <v>15857</v>
      </c>
      <c r="Q937" s="300" t="s">
        <v>15855</v>
      </c>
      <c r="R937" s="182" t="str">
        <f ca="1">IF(ISERROR($V937),"",OFFSET('Smelter Look-up'!$C$4,$V937-4,0)&amp;"")</f>
        <v>Melt Metais e Ligas S.A.</v>
      </c>
      <c r="S937" s="181" t="str">
        <f t="shared" ca="1" si="131"/>
        <v>BR</v>
      </c>
      <c r="T937" s="181" t="str">
        <f ca="1">IF(B937="","",IF(ISERROR(MATCH($J937,SorP!$B$1:$B$6226,0)),"",INDIRECT("'SorP'!$A$"&amp;MATCH($S937&amp;$J937,SorP!C:C,0))))</f>
        <v>BR-RO</v>
      </c>
      <c r="U937" s="201"/>
      <c r="V937" s="226">
        <f>IF(C937="",NA(),IF(OR(C937="Smelter not listed",C937="Smelter not yet identified"),MATCH($B937&amp;$D937,'Smelter Look-up'!$J:$J,0),MATCH($B937&amp;$C937,'Smelter Look-up'!$J:$J,0)))</f>
        <v>476</v>
      </c>
      <c r="X937" s="227">
        <f t="shared" si="132"/>
        <v>0</v>
      </c>
      <c r="AB937" s="228" t="str">
        <f t="shared" si="133"/>
        <v>TinMelt Metais e Ligas S.A.</v>
      </c>
    </row>
    <row r="938" spans="1:28" s="227" customFormat="1" ht="54">
      <c r="A938" s="301" t="s">
        <v>1767</v>
      </c>
      <c r="B938" s="293" t="s">
        <v>1120</v>
      </c>
      <c r="C938" s="294" t="s">
        <v>2133</v>
      </c>
      <c r="D938" s="295" t="s">
        <v>2133</v>
      </c>
      <c r="E938" s="293" t="s">
        <v>2415</v>
      </c>
      <c r="F938" s="293" t="s">
        <v>1767</v>
      </c>
      <c r="G938" s="293" t="s">
        <v>13217</v>
      </c>
      <c r="H938" s="296" t="s">
        <v>15855</v>
      </c>
      <c r="I938" s="297" t="s">
        <v>1768</v>
      </c>
      <c r="J938" s="297" t="s">
        <v>1627</v>
      </c>
      <c r="K938" s="298" t="s">
        <v>15855</v>
      </c>
      <c r="L938" s="298" t="s">
        <v>15855</v>
      </c>
      <c r="M938" s="298" t="s">
        <v>15855</v>
      </c>
      <c r="N938" s="298" t="s">
        <v>15855</v>
      </c>
      <c r="O938" s="298" t="s">
        <v>15855</v>
      </c>
      <c r="P938" s="299" t="s">
        <v>15857</v>
      </c>
      <c r="Q938" s="300" t="s">
        <v>15855</v>
      </c>
      <c r="R938" s="182" t="str">
        <f ca="1">IF(ISERROR($V938),"",OFFSET('Smelter Look-up'!$C$4,$V938-4,0)&amp;"")</f>
        <v>Metallic Resources, Inc.</v>
      </c>
      <c r="S938" s="181" t="str">
        <f t="shared" ca="1" si="131"/>
        <v>US</v>
      </c>
      <c r="T938" s="181" t="str">
        <f ca="1">IF(B938="","",IF(ISERROR(MATCH($J938,SorP!$B$1:$B$6226,0)),"",INDIRECT("'SorP'!$A$"&amp;MATCH($S938&amp;$J938,SorP!C:C,0))))</f>
        <v>US-OH</v>
      </c>
      <c r="U938" s="201"/>
      <c r="V938" s="226">
        <f>IF(C938="",NA(),IF(OR(C938="Smelter not listed",C938="Smelter not yet identified"),MATCH($B938&amp;$D938,'Smelter Look-up'!$J:$J,0),MATCH($B938&amp;$C938,'Smelter Look-up'!$J:$J,0)))</f>
        <v>479</v>
      </c>
      <c r="X938" s="227">
        <f t="shared" si="132"/>
        <v>0</v>
      </c>
      <c r="AB938" s="228" t="str">
        <f t="shared" si="133"/>
        <v>TinMetallic Resources, Inc.</v>
      </c>
    </row>
    <row r="939" spans="1:28" s="227" customFormat="1" ht="54">
      <c r="A939" s="301" t="s">
        <v>1767</v>
      </c>
      <c r="B939" s="293" t="s">
        <v>1120</v>
      </c>
      <c r="C939" s="294" t="s">
        <v>2133</v>
      </c>
      <c r="D939" s="295" t="s">
        <v>2133</v>
      </c>
      <c r="E939" s="293" t="s">
        <v>2415</v>
      </c>
      <c r="F939" s="293" t="s">
        <v>1767</v>
      </c>
      <c r="G939" s="293" t="s">
        <v>13217</v>
      </c>
      <c r="H939" s="296" t="s">
        <v>15855</v>
      </c>
      <c r="I939" s="297" t="s">
        <v>1768</v>
      </c>
      <c r="J939" s="297" t="s">
        <v>1627</v>
      </c>
      <c r="K939" s="298" t="s">
        <v>15855</v>
      </c>
      <c r="L939" s="298" t="s">
        <v>15855</v>
      </c>
      <c r="M939" s="298" t="s">
        <v>15855</v>
      </c>
      <c r="N939" s="298" t="s">
        <v>15855</v>
      </c>
      <c r="O939" s="298" t="s">
        <v>15925</v>
      </c>
      <c r="P939" s="299" t="s">
        <v>15857</v>
      </c>
      <c r="Q939" s="300" t="s">
        <v>15855</v>
      </c>
      <c r="R939" s="182" t="str">
        <f ca="1">IF(ISERROR($V939),"",OFFSET('Smelter Look-up'!$C$4,$V939-4,0)&amp;"")</f>
        <v>Metallic Resources, Inc.</v>
      </c>
      <c r="S939" s="181" t="str">
        <f t="shared" ca="1" si="131"/>
        <v>US</v>
      </c>
      <c r="T939" s="181" t="str">
        <f ca="1">IF(B939="","",IF(ISERROR(MATCH($J939,SorP!$B$1:$B$6226,0)),"",INDIRECT("'SorP'!$A$"&amp;MATCH($S939&amp;$J939,SorP!C:C,0))))</f>
        <v>US-OH</v>
      </c>
      <c r="U939" s="201"/>
      <c r="V939" s="226">
        <f>IF(C939="",NA(),IF(OR(C939="Smelter not listed",C939="Smelter not yet identified"),MATCH($B939&amp;$D939,'Smelter Look-up'!$J:$J,0),MATCH($B939&amp;$C939,'Smelter Look-up'!$J:$J,0)))</f>
        <v>479</v>
      </c>
      <c r="X939" s="227">
        <f t="shared" si="132"/>
        <v>0</v>
      </c>
      <c r="AB939" s="228" t="str">
        <f t="shared" si="133"/>
        <v>TinMetallic Resources, Inc.</v>
      </c>
    </row>
    <row r="940" spans="1:28" s="227" customFormat="1" ht="54">
      <c r="A940" s="301" t="s">
        <v>1767</v>
      </c>
      <c r="B940" s="293" t="s">
        <v>1120</v>
      </c>
      <c r="C940" s="294" t="s">
        <v>2133</v>
      </c>
      <c r="D940" s="295" t="s">
        <v>2133</v>
      </c>
      <c r="E940" s="293" t="s">
        <v>2415</v>
      </c>
      <c r="F940" s="293" t="s">
        <v>1767</v>
      </c>
      <c r="G940" s="293" t="s">
        <v>13217</v>
      </c>
      <c r="H940" s="296" t="s">
        <v>15855</v>
      </c>
      <c r="I940" s="297" t="s">
        <v>1768</v>
      </c>
      <c r="J940" s="297" t="s">
        <v>1627</v>
      </c>
      <c r="K940" s="298" t="s">
        <v>16677</v>
      </c>
      <c r="L940" s="298" t="s">
        <v>16678</v>
      </c>
      <c r="M940" s="298" t="s">
        <v>15892</v>
      </c>
      <c r="N940" s="298" t="s">
        <v>15870</v>
      </c>
      <c r="O940" s="298" t="s">
        <v>16558</v>
      </c>
      <c r="P940" s="299" t="s">
        <v>15857</v>
      </c>
      <c r="Q940" s="300" t="s">
        <v>15855</v>
      </c>
      <c r="R940" s="182" t="str">
        <f ca="1">IF(ISERROR($V940),"",OFFSET('Smelter Look-up'!$C$4,$V940-4,0)&amp;"")</f>
        <v>Metallic Resources, Inc.</v>
      </c>
      <c r="S940" s="181" t="str">
        <f t="shared" ca="1" si="131"/>
        <v>US</v>
      </c>
      <c r="T940" s="181" t="str">
        <f ca="1">IF(B940="","",IF(ISERROR(MATCH($J940,SorP!$B$1:$B$6226,0)),"",INDIRECT("'SorP'!$A$"&amp;MATCH($S940&amp;$J940,SorP!C:C,0))))</f>
        <v>US-OH</v>
      </c>
      <c r="U940" s="201"/>
      <c r="V940" s="226">
        <f>IF(C940="",NA(),IF(OR(C940="Smelter not listed",C940="Smelter not yet identified"),MATCH($B940&amp;$D940,'Smelter Look-up'!$J:$J,0),MATCH($B940&amp;$C940,'Smelter Look-up'!$J:$J,0)))</f>
        <v>479</v>
      </c>
      <c r="X940" s="227">
        <f t="shared" si="132"/>
        <v>0</v>
      </c>
      <c r="AB940" s="228" t="str">
        <f t="shared" si="133"/>
        <v>TinMetallic Resources, Inc.</v>
      </c>
    </row>
    <row r="941" spans="1:28" s="227" customFormat="1" ht="54">
      <c r="A941" s="301" t="s">
        <v>1767</v>
      </c>
      <c r="B941" s="293" t="s">
        <v>1120</v>
      </c>
      <c r="C941" s="294" t="s">
        <v>2133</v>
      </c>
      <c r="D941" s="295" t="s">
        <v>2133</v>
      </c>
      <c r="E941" s="293" t="s">
        <v>2415</v>
      </c>
      <c r="F941" s="293" t="s">
        <v>1767</v>
      </c>
      <c r="G941" s="293" t="s">
        <v>13217</v>
      </c>
      <c r="H941" s="302" t="s">
        <v>15880</v>
      </c>
      <c r="I941" s="297" t="s">
        <v>1768</v>
      </c>
      <c r="J941" s="297" t="s">
        <v>1627</v>
      </c>
      <c r="K941" s="298" t="s">
        <v>15855</v>
      </c>
      <c r="L941" s="298" t="s">
        <v>15855</v>
      </c>
      <c r="M941" s="298" t="s">
        <v>15855</v>
      </c>
      <c r="N941" s="298" t="s">
        <v>15855</v>
      </c>
      <c r="O941" s="298" t="s">
        <v>15855</v>
      </c>
      <c r="P941" s="299" t="s">
        <v>15857</v>
      </c>
      <c r="Q941" s="300" t="s">
        <v>15855</v>
      </c>
      <c r="R941" s="182" t="str">
        <f ca="1">IF(ISERROR($V941),"",OFFSET('Smelter Look-up'!$C$4,$V941-4,0)&amp;"")</f>
        <v>Metallic Resources, Inc.</v>
      </c>
      <c r="S941" s="181" t="str">
        <f t="shared" ca="1" si="131"/>
        <v>US</v>
      </c>
      <c r="T941" s="181" t="str">
        <f ca="1">IF(B941="","",IF(ISERROR(MATCH($J941,SorP!$B$1:$B$6226,0)),"",INDIRECT("'SorP'!$A$"&amp;MATCH($S941&amp;$J941,SorP!C:C,0))))</f>
        <v>US-OH</v>
      </c>
      <c r="U941" s="201"/>
      <c r="V941" s="226">
        <f>IF(C941="",NA(),IF(OR(C941="Smelter not listed",C941="Smelter not yet identified"),MATCH($B941&amp;$D941,'Smelter Look-up'!$J:$J,0),MATCH($B941&amp;$C941,'Smelter Look-up'!$J:$J,0)))</f>
        <v>479</v>
      </c>
      <c r="X941" s="227">
        <f t="shared" si="132"/>
        <v>0</v>
      </c>
      <c r="AB941" s="228" t="str">
        <f t="shared" si="133"/>
        <v>TinMetallic Resources, Inc.</v>
      </c>
    </row>
    <row r="942" spans="1:28" s="227" customFormat="1" ht="27">
      <c r="A942" s="301" t="s">
        <v>1801</v>
      </c>
      <c r="B942" s="293" t="s">
        <v>1120</v>
      </c>
      <c r="C942" s="294" t="s">
        <v>15496</v>
      </c>
      <c r="D942" s="295" t="s">
        <v>12910</v>
      </c>
      <c r="E942" s="293" t="s">
        <v>1085</v>
      </c>
      <c r="F942" s="293" t="s">
        <v>1801</v>
      </c>
      <c r="G942" s="293" t="s">
        <v>13217</v>
      </c>
      <c r="H942" s="296" t="s">
        <v>15855</v>
      </c>
      <c r="I942" s="297" t="s">
        <v>1802</v>
      </c>
      <c r="J942" s="297" t="s">
        <v>3135</v>
      </c>
      <c r="K942" s="298" t="s">
        <v>15855</v>
      </c>
      <c r="L942" s="298" t="s">
        <v>15855</v>
      </c>
      <c r="M942" s="298" t="s">
        <v>15855</v>
      </c>
      <c r="N942" s="298" t="s">
        <v>15855</v>
      </c>
      <c r="O942" s="298" t="s">
        <v>15855</v>
      </c>
      <c r="P942" s="299" t="s">
        <v>15857</v>
      </c>
      <c r="Q942" s="300" t="s">
        <v>15855</v>
      </c>
      <c r="R942" s="182" t="str">
        <f ca="1">IF(ISERROR($V942),"",OFFSET('Smelter Look-up'!$C$4,$V942-4,0)&amp;"")</f>
        <v>Aurubis Beerse</v>
      </c>
      <c r="S942" s="181" t="str">
        <f t="shared" ca="1" si="131"/>
        <v>BE</v>
      </c>
      <c r="T942" s="181" t="str">
        <f ca="1">IF(B942="","",IF(ISERROR(MATCH($J942,SorP!$B$1:$B$6226,0)),"",INDIRECT("'SorP'!$A$"&amp;MATCH($S942&amp;$J942,SorP!C:C,0))))</f>
        <v>BE-VAN</v>
      </c>
      <c r="U942" s="201"/>
      <c r="V942" s="226">
        <f>IF(C942="",NA(),IF(OR(C942="Smelter not listed",C942="Smelter not yet identified"),MATCH($B942&amp;$D942,'Smelter Look-up'!$J:$J,0),MATCH($B942&amp;$C942,'Smelter Look-up'!$J:$J,0)))</f>
        <v>405</v>
      </c>
      <c r="X942" s="227">
        <f t="shared" si="132"/>
        <v>0</v>
      </c>
      <c r="AB942" s="228" t="str">
        <f t="shared" si="133"/>
        <v>TinAurubis Beerse</v>
      </c>
    </row>
    <row r="943" spans="1:28" s="227" customFormat="1" ht="27">
      <c r="A943" s="301" t="s">
        <v>1801</v>
      </c>
      <c r="B943" s="293" t="s">
        <v>1120</v>
      </c>
      <c r="C943" s="294" t="s">
        <v>15496</v>
      </c>
      <c r="D943" s="295" t="s">
        <v>12910</v>
      </c>
      <c r="E943" s="293" t="s">
        <v>1085</v>
      </c>
      <c r="F943" s="293" t="s">
        <v>1801</v>
      </c>
      <c r="G943" s="293" t="s">
        <v>13217</v>
      </c>
      <c r="H943" s="296" t="s">
        <v>15855</v>
      </c>
      <c r="I943" s="297" t="s">
        <v>1802</v>
      </c>
      <c r="J943" s="297" t="s">
        <v>3135</v>
      </c>
      <c r="K943" s="298" t="s">
        <v>15855</v>
      </c>
      <c r="L943" s="298" t="s">
        <v>15855</v>
      </c>
      <c r="M943" s="298" t="s">
        <v>15855</v>
      </c>
      <c r="N943" s="298" t="s">
        <v>15855</v>
      </c>
      <c r="O943" s="298" t="s">
        <v>16679</v>
      </c>
      <c r="P943" s="299" t="s">
        <v>15857</v>
      </c>
      <c r="Q943" s="300" t="s">
        <v>15855</v>
      </c>
      <c r="R943" s="182" t="str">
        <f ca="1">IF(ISERROR($V943),"",OFFSET('Smelter Look-up'!$C$4,$V943-4,0)&amp;"")</f>
        <v>Aurubis Beerse</v>
      </c>
      <c r="S943" s="181" t="str">
        <f t="shared" ca="1" si="131"/>
        <v>BE</v>
      </c>
      <c r="T943" s="181" t="str">
        <f ca="1">IF(B943="","",IF(ISERROR(MATCH($J943,SorP!$B$1:$B$6226,0)),"",INDIRECT("'SorP'!$A$"&amp;MATCH($S943&amp;$J943,SorP!C:C,0))))</f>
        <v>BE-VAN</v>
      </c>
      <c r="U943" s="201"/>
      <c r="V943" s="226">
        <f>IF(C943="",NA(),IF(OR(C943="Smelter not listed",C943="Smelter not yet identified"),MATCH($B943&amp;$D943,'Smelter Look-up'!$J:$J,0),MATCH($B943&amp;$C943,'Smelter Look-up'!$J:$J,0)))</f>
        <v>405</v>
      </c>
      <c r="X943" s="227">
        <f t="shared" si="132"/>
        <v>0</v>
      </c>
      <c r="AB943" s="228" t="str">
        <f t="shared" si="133"/>
        <v>TinAurubis Beerse</v>
      </c>
    </row>
    <row r="944" spans="1:28" s="227" customFormat="1" ht="54">
      <c r="A944" s="301" t="s">
        <v>1801</v>
      </c>
      <c r="B944" s="293" t="s">
        <v>1120</v>
      </c>
      <c r="C944" s="294" t="s">
        <v>12910</v>
      </c>
      <c r="D944" s="295" t="s">
        <v>12910</v>
      </c>
      <c r="E944" s="293" t="s">
        <v>1085</v>
      </c>
      <c r="F944" s="293" t="s">
        <v>1801</v>
      </c>
      <c r="G944" s="293" t="s">
        <v>15864</v>
      </c>
      <c r="H944" s="302" t="s">
        <v>15880</v>
      </c>
      <c r="I944" s="297" t="s">
        <v>1802</v>
      </c>
      <c r="J944" s="297" t="s">
        <v>3135</v>
      </c>
      <c r="K944" s="298" t="s">
        <v>15855</v>
      </c>
      <c r="L944" s="298" t="s">
        <v>15855</v>
      </c>
      <c r="M944" s="298" t="s">
        <v>15855</v>
      </c>
      <c r="N944" s="298" t="s">
        <v>15896</v>
      </c>
      <c r="O944" s="298" t="s">
        <v>15896</v>
      </c>
      <c r="P944" s="299" t="s">
        <v>15857</v>
      </c>
      <c r="Q944" s="300" t="s">
        <v>15855</v>
      </c>
      <c r="R944" s="182" t="str">
        <f ca="1">IF(ISERROR($V944),"",OFFSET('Smelter Look-up'!$C$4,$V944-4,0)&amp;"")</f>
        <v>Aurubis Beerse</v>
      </c>
      <c r="S944" s="181" t="str">
        <f t="shared" ca="1" si="131"/>
        <v>BE</v>
      </c>
      <c r="T944" s="181" t="str">
        <f ca="1">IF(B944="","",IF(ISERROR(MATCH($J944,SorP!$B$1:$B$6226,0)),"",INDIRECT("'SorP'!$A$"&amp;MATCH($S944&amp;$J944,SorP!C:C,0))))</f>
        <v>BE-VAN</v>
      </c>
      <c r="U944" s="201"/>
      <c r="V944" s="226">
        <f>IF(C944="",NA(),IF(OR(C944="Smelter not listed",C944="Smelter not yet identified"),MATCH($B944&amp;$D944,'Smelter Look-up'!$J:$J,0),MATCH($B944&amp;$C944,'Smelter Look-up'!$J:$J,0)))</f>
        <v>480</v>
      </c>
      <c r="X944" s="227">
        <f t="shared" si="132"/>
        <v>0</v>
      </c>
      <c r="AB944" s="228" t="str">
        <f t="shared" si="133"/>
        <v>TinMetallo Belgium N.V.</v>
      </c>
    </row>
    <row r="945" spans="1:28" s="227" customFormat="1" ht="54">
      <c r="A945" s="301" t="s">
        <v>1801</v>
      </c>
      <c r="B945" s="293" t="s">
        <v>1120</v>
      </c>
      <c r="C945" s="294" t="s">
        <v>12910</v>
      </c>
      <c r="D945" s="295" t="s">
        <v>12910</v>
      </c>
      <c r="E945" s="293" t="s">
        <v>1085</v>
      </c>
      <c r="F945" s="293" t="s">
        <v>1801</v>
      </c>
      <c r="G945" s="293" t="s">
        <v>13217</v>
      </c>
      <c r="H945" s="296" t="s">
        <v>15855</v>
      </c>
      <c r="I945" s="297" t="s">
        <v>1802</v>
      </c>
      <c r="J945" s="297" t="s">
        <v>3135</v>
      </c>
      <c r="K945" s="298" t="s">
        <v>15855</v>
      </c>
      <c r="L945" s="298" t="s">
        <v>15855</v>
      </c>
      <c r="M945" s="298" t="s">
        <v>15855</v>
      </c>
      <c r="N945" s="298" t="s">
        <v>15855</v>
      </c>
      <c r="O945" s="298" t="s">
        <v>15855</v>
      </c>
      <c r="P945" s="299" t="s">
        <v>15857</v>
      </c>
      <c r="Q945" s="300" t="s">
        <v>15855</v>
      </c>
      <c r="R945" s="182" t="str">
        <f ca="1">IF(ISERROR($V945),"",OFFSET('Smelter Look-up'!$C$4,$V945-4,0)&amp;"")</f>
        <v>Aurubis Beerse</v>
      </c>
      <c r="S945" s="181" t="str">
        <f t="shared" ca="1" si="131"/>
        <v>BE</v>
      </c>
      <c r="T945" s="181" t="str">
        <f ca="1">IF(B945="","",IF(ISERROR(MATCH($J945,SorP!$B$1:$B$6226,0)),"",INDIRECT("'SorP'!$A$"&amp;MATCH($S945&amp;$J945,SorP!C:C,0))))</f>
        <v>BE-VAN</v>
      </c>
      <c r="U945" s="201"/>
      <c r="V945" s="226">
        <f>IF(C945="",NA(),IF(OR(C945="Smelter not listed",C945="Smelter not yet identified"),MATCH($B945&amp;$D945,'Smelter Look-up'!$J:$J,0),MATCH($B945&amp;$C945,'Smelter Look-up'!$J:$J,0)))</f>
        <v>480</v>
      </c>
      <c r="X945" s="227">
        <f t="shared" si="132"/>
        <v>0</v>
      </c>
      <c r="AB945" s="228" t="str">
        <f t="shared" si="133"/>
        <v>TinMetallo Belgium N.V.</v>
      </c>
    </row>
    <row r="946" spans="1:28" s="227" customFormat="1" ht="54">
      <c r="A946" s="301" t="s">
        <v>1801</v>
      </c>
      <c r="B946" s="293" t="s">
        <v>1120</v>
      </c>
      <c r="C946" s="294" t="s">
        <v>12910</v>
      </c>
      <c r="D946" s="295" t="s">
        <v>12910</v>
      </c>
      <c r="E946" s="293" t="s">
        <v>1085</v>
      </c>
      <c r="F946" s="293" t="s">
        <v>1801</v>
      </c>
      <c r="G946" s="293" t="s">
        <v>13217</v>
      </c>
      <c r="H946" s="296" t="s">
        <v>15855</v>
      </c>
      <c r="I946" s="297" t="s">
        <v>1802</v>
      </c>
      <c r="J946" s="297" t="s">
        <v>3135</v>
      </c>
      <c r="K946" s="298" t="s">
        <v>15855</v>
      </c>
      <c r="L946" s="298" t="s">
        <v>15855</v>
      </c>
      <c r="M946" s="298" t="s">
        <v>15855</v>
      </c>
      <c r="N946" s="298" t="s">
        <v>15855</v>
      </c>
      <c r="O946" s="298" t="s">
        <v>15855</v>
      </c>
      <c r="P946" s="299" t="s">
        <v>15857</v>
      </c>
      <c r="Q946" s="300" t="s">
        <v>16531</v>
      </c>
      <c r="R946" s="182" t="str">
        <f ca="1">IF(ISERROR($V946),"",OFFSET('Smelter Look-up'!$C$4,$V946-4,0)&amp;"")</f>
        <v>Aurubis Beerse</v>
      </c>
      <c r="S946" s="181" t="str">
        <f t="shared" ca="1" si="131"/>
        <v>BE</v>
      </c>
      <c r="T946" s="181" t="str">
        <f ca="1">IF(B946="","",IF(ISERROR(MATCH($J946,SorP!$B$1:$B$6226,0)),"",INDIRECT("'SorP'!$A$"&amp;MATCH($S946&amp;$J946,SorP!C:C,0))))</f>
        <v>BE-VAN</v>
      </c>
      <c r="U946" s="201"/>
      <c r="V946" s="226">
        <f>IF(C946="",NA(),IF(OR(C946="Smelter not listed",C946="Smelter not yet identified"),MATCH($B946&amp;$D946,'Smelter Look-up'!$J:$J,0),MATCH($B946&amp;$C946,'Smelter Look-up'!$J:$J,0)))</f>
        <v>480</v>
      </c>
      <c r="X946" s="227">
        <f t="shared" si="132"/>
        <v>0</v>
      </c>
      <c r="AB946" s="228" t="str">
        <f t="shared" si="133"/>
        <v>TinMetallo Belgium N.V.</v>
      </c>
    </row>
    <row r="947" spans="1:28" s="227" customFormat="1" ht="54">
      <c r="A947" s="301" t="s">
        <v>1801</v>
      </c>
      <c r="B947" s="293" t="s">
        <v>1120</v>
      </c>
      <c r="C947" s="294" t="s">
        <v>12910</v>
      </c>
      <c r="D947" s="295" t="s">
        <v>12910</v>
      </c>
      <c r="E947" s="293" t="s">
        <v>1085</v>
      </c>
      <c r="F947" s="293" t="s">
        <v>1801</v>
      </c>
      <c r="G947" s="293" t="s">
        <v>13217</v>
      </c>
      <c r="H947" s="296" t="s">
        <v>15855</v>
      </c>
      <c r="I947" s="297" t="s">
        <v>1802</v>
      </c>
      <c r="J947" s="297" t="s">
        <v>3135</v>
      </c>
      <c r="K947" s="298" t="s">
        <v>15855</v>
      </c>
      <c r="L947" s="298" t="s">
        <v>15855</v>
      </c>
      <c r="M947" s="298" t="s">
        <v>15855</v>
      </c>
      <c r="N947" s="298" t="s">
        <v>15855</v>
      </c>
      <c r="O947" s="298" t="s">
        <v>15855</v>
      </c>
      <c r="P947" s="299" t="s">
        <v>15875</v>
      </c>
      <c r="Q947" s="300" t="s">
        <v>15855</v>
      </c>
      <c r="R947" s="182" t="str">
        <f ca="1">IF(ISERROR($V947),"",OFFSET('Smelter Look-up'!$C$4,$V947-4,0)&amp;"")</f>
        <v>Aurubis Beerse</v>
      </c>
      <c r="S947" s="181" t="str">
        <f t="shared" ca="1" si="131"/>
        <v>BE</v>
      </c>
      <c r="T947" s="181" t="str">
        <f ca="1">IF(B947="","",IF(ISERROR(MATCH($J947,SorP!$B$1:$B$6226,0)),"",INDIRECT("'SorP'!$A$"&amp;MATCH($S947&amp;$J947,SorP!C:C,0))))</f>
        <v>BE-VAN</v>
      </c>
      <c r="U947" s="201"/>
      <c r="V947" s="226">
        <f>IF(C947="",NA(),IF(OR(C947="Smelter not listed",C947="Smelter not yet identified"),MATCH($B947&amp;$D947,'Smelter Look-up'!$J:$J,0),MATCH($B947&amp;$C947,'Smelter Look-up'!$J:$J,0)))</f>
        <v>480</v>
      </c>
      <c r="X947" s="227">
        <f t="shared" si="132"/>
        <v>0</v>
      </c>
      <c r="AB947" s="228" t="str">
        <f t="shared" si="133"/>
        <v>TinMetallo Belgium N.V.</v>
      </c>
    </row>
    <row r="948" spans="1:28" s="227" customFormat="1" ht="54">
      <c r="A948" s="301" t="s">
        <v>1801</v>
      </c>
      <c r="B948" s="293" t="s">
        <v>1120</v>
      </c>
      <c r="C948" s="294" t="s">
        <v>12910</v>
      </c>
      <c r="D948" s="295" t="s">
        <v>12910</v>
      </c>
      <c r="E948" s="293" t="s">
        <v>1085</v>
      </c>
      <c r="F948" s="293" t="s">
        <v>1801</v>
      </c>
      <c r="G948" s="293" t="s">
        <v>13217</v>
      </c>
      <c r="H948" s="296" t="s">
        <v>15855</v>
      </c>
      <c r="I948" s="297" t="s">
        <v>1802</v>
      </c>
      <c r="J948" s="297" t="s">
        <v>3135</v>
      </c>
      <c r="K948" s="298" t="s">
        <v>16680</v>
      </c>
      <c r="L948" s="298" t="s">
        <v>16681</v>
      </c>
      <c r="M948" s="298" t="s">
        <v>16682</v>
      </c>
      <c r="N948" s="298" t="s">
        <v>15862</v>
      </c>
      <c r="O948" s="298" t="s">
        <v>16534</v>
      </c>
      <c r="P948" s="299" t="s">
        <v>15857</v>
      </c>
      <c r="Q948" s="300" t="s">
        <v>15855</v>
      </c>
      <c r="R948" s="182" t="str">
        <f ca="1">IF(ISERROR($V948),"",OFFSET('Smelter Look-up'!$C$4,$V948-4,0)&amp;"")</f>
        <v>Aurubis Beerse</v>
      </c>
      <c r="S948" s="181" t="str">
        <f t="shared" ca="1" si="131"/>
        <v>BE</v>
      </c>
      <c r="T948" s="181" t="str">
        <f ca="1">IF(B948="","",IF(ISERROR(MATCH($J948,SorP!$B$1:$B$6226,0)),"",INDIRECT("'SorP'!$A$"&amp;MATCH($S948&amp;$J948,SorP!C:C,0))))</f>
        <v>BE-VAN</v>
      </c>
      <c r="U948" s="201"/>
      <c r="V948" s="226">
        <f>IF(C948="",NA(),IF(OR(C948="Smelter not listed",C948="Smelter not yet identified"),MATCH($B948&amp;$D948,'Smelter Look-up'!$J:$J,0),MATCH($B948&amp;$C948,'Smelter Look-up'!$J:$J,0)))</f>
        <v>480</v>
      </c>
      <c r="X948" s="227">
        <f t="shared" si="132"/>
        <v>0</v>
      </c>
      <c r="AB948" s="228" t="str">
        <f t="shared" si="133"/>
        <v>TinMetallo Belgium N.V.</v>
      </c>
    </row>
    <row r="949" spans="1:28" s="227" customFormat="1" ht="54">
      <c r="A949" s="301" t="s">
        <v>1801</v>
      </c>
      <c r="B949" s="293" t="s">
        <v>1120</v>
      </c>
      <c r="C949" s="294" t="s">
        <v>12910</v>
      </c>
      <c r="D949" s="295" t="s">
        <v>12910</v>
      </c>
      <c r="E949" s="293" t="s">
        <v>1085</v>
      </c>
      <c r="F949" s="293" t="s">
        <v>1801</v>
      </c>
      <c r="G949" s="293" t="s">
        <v>13217</v>
      </c>
      <c r="H949" s="302" t="s">
        <v>15880</v>
      </c>
      <c r="I949" s="297" t="s">
        <v>1802</v>
      </c>
      <c r="J949" s="297" t="s">
        <v>3135</v>
      </c>
      <c r="K949" s="298" t="s">
        <v>15855</v>
      </c>
      <c r="L949" s="298" t="s">
        <v>15855</v>
      </c>
      <c r="M949" s="298" t="s">
        <v>15855</v>
      </c>
      <c r="N949" s="298" t="s">
        <v>15855</v>
      </c>
      <c r="O949" s="298" t="s">
        <v>15855</v>
      </c>
      <c r="P949" s="299" t="s">
        <v>15857</v>
      </c>
      <c r="Q949" s="300" t="s">
        <v>15855</v>
      </c>
      <c r="R949" s="182" t="str">
        <f ca="1">IF(ISERROR($V949),"",OFFSET('Smelter Look-up'!$C$4,$V949-4,0)&amp;"")</f>
        <v>Aurubis Beerse</v>
      </c>
      <c r="S949" s="181" t="str">
        <f t="shared" ca="1" si="131"/>
        <v>BE</v>
      </c>
      <c r="T949" s="181" t="str">
        <f ca="1">IF(B949="","",IF(ISERROR(MATCH($J949,SorP!$B$1:$B$6226,0)),"",INDIRECT("'SorP'!$A$"&amp;MATCH($S949&amp;$J949,SorP!C:C,0))))</f>
        <v>BE-VAN</v>
      </c>
      <c r="U949" s="201"/>
      <c r="V949" s="226">
        <f>IF(C949="",NA(),IF(OR(C949="Smelter not listed",C949="Smelter not yet identified"),MATCH($B949&amp;$D949,'Smelter Look-up'!$J:$J,0),MATCH($B949&amp;$C949,'Smelter Look-up'!$J:$J,0)))</f>
        <v>480</v>
      </c>
      <c r="X949" s="227">
        <f t="shared" si="132"/>
        <v>0</v>
      </c>
      <c r="AB949" s="228" t="str">
        <f t="shared" si="133"/>
        <v>TinMetallo Belgium N.V.</v>
      </c>
    </row>
    <row r="950" spans="1:28" s="227" customFormat="1" ht="54">
      <c r="A950" s="301" t="s">
        <v>1801</v>
      </c>
      <c r="B950" s="293" t="s">
        <v>1120</v>
      </c>
      <c r="C950" s="294" t="s">
        <v>12910</v>
      </c>
      <c r="D950" s="295" t="s">
        <v>12910</v>
      </c>
      <c r="E950" s="293" t="s">
        <v>1085</v>
      </c>
      <c r="F950" s="293" t="s">
        <v>1801</v>
      </c>
      <c r="G950" s="293" t="s">
        <v>13217</v>
      </c>
      <c r="H950" s="302" t="s">
        <v>15880</v>
      </c>
      <c r="I950" s="297" t="s">
        <v>1802</v>
      </c>
      <c r="J950" s="297" t="s">
        <v>3135</v>
      </c>
      <c r="K950" s="298" t="s">
        <v>16683</v>
      </c>
      <c r="L950" s="298" t="s">
        <v>16684</v>
      </c>
      <c r="M950" s="298" t="s">
        <v>16345</v>
      </c>
      <c r="N950" s="298" t="s">
        <v>16540</v>
      </c>
      <c r="O950" s="298" t="s">
        <v>16540</v>
      </c>
      <c r="P950" s="299" t="s">
        <v>15857</v>
      </c>
      <c r="Q950" s="300" t="s">
        <v>16569</v>
      </c>
      <c r="R950" s="182" t="str">
        <f ca="1">IF(ISERROR($V950),"",OFFSET('Smelter Look-up'!$C$4,$V950-4,0)&amp;"")</f>
        <v>Aurubis Beerse</v>
      </c>
      <c r="S950" s="181" t="str">
        <f t="shared" ca="1" si="131"/>
        <v>BE</v>
      </c>
      <c r="T950" s="181" t="str">
        <f ca="1">IF(B950="","",IF(ISERROR(MATCH($J950,SorP!$B$1:$B$6226,0)),"",INDIRECT("'SorP'!$A$"&amp;MATCH($S950&amp;$J950,SorP!C:C,0))))</f>
        <v>BE-VAN</v>
      </c>
      <c r="U950" s="201"/>
      <c r="V950" s="226">
        <f>IF(C950="",NA(),IF(OR(C950="Smelter not listed",C950="Smelter not yet identified"),MATCH($B950&amp;$D950,'Smelter Look-up'!$J:$J,0),MATCH($B950&amp;$C950,'Smelter Look-up'!$J:$J,0)))</f>
        <v>480</v>
      </c>
      <c r="X950" s="227">
        <f t="shared" si="132"/>
        <v>0</v>
      </c>
      <c r="AB950" s="228" t="str">
        <f t="shared" si="133"/>
        <v>TinMetallo Belgium N.V.</v>
      </c>
    </row>
    <row r="951" spans="1:28" s="227" customFormat="1" ht="40.5">
      <c r="A951" s="301" t="s">
        <v>1803</v>
      </c>
      <c r="B951" s="293" t="s">
        <v>1120</v>
      </c>
      <c r="C951" s="294" t="s">
        <v>12911</v>
      </c>
      <c r="D951" s="295" t="s">
        <v>12911</v>
      </c>
      <c r="E951" s="293" t="s">
        <v>1092</v>
      </c>
      <c r="F951" s="293" t="s">
        <v>1803</v>
      </c>
      <c r="G951" s="293" t="s">
        <v>13217</v>
      </c>
      <c r="H951" s="296" t="s">
        <v>15855</v>
      </c>
      <c r="I951" s="297" t="s">
        <v>1804</v>
      </c>
      <c r="J951" s="297" t="s">
        <v>12390</v>
      </c>
      <c r="K951" s="298" t="s">
        <v>15855</v>
      </c>
      <c r="L951" s="298" t="s">
        <v>15855</v>
      </c>
      <c r="M951" s="298" t="s">
        <v>15855</v>
      </c>
      <c r="N951" s="298" t="s">
        <v>15855</v>
      </c>
      <c r="O951" s="298" t="s">
        <v>15855</v>
      </c>
      <c r="P951" s="299" t="s">
        <v>15857</v>
      </c>
      <c r="Q951" s="300" t="s">
        <v>15855</v>
      </c>
      <c r="R951" s="182" t="str">
        <f ca="1">IF(ISERROR($V951),"",OFFSET('Smelter Look-up'!$C$4,$V951-4,0)&amp;"")</f>
        <v>Aurubis Berango</v>
      </c>
      <c r="S951" s="181" t="str">
        <f t="shared" ca="1" si="131"/>
        <v>ES</v>
      </c>
      <c r="T951" s="181" t="str">
        <f ca="1">IF(B951="","",IF(ISERROR(MATCH($J951,SorP!$B$1:$B$6226,0)),"",INDIRECT("'SorP'!$A$"&amp;MATCH($S951&amp;$J951,SorP!C:C,0))))</f>
        <v>ES-BI</v>
      </c>
      <c r="U951" s="201"/>
      <c r="V951" s="226">
        <f>IF(C951="",NA(),IF(OR(C951="Smelter not listed",C951="Smelter not yet identified"),MATCH($B951&amp;$D951,'Smelter Look-up'!$J:$J,0),MATCH($B951&amp;$C951,'Smelter Look-up'!$J:$J,0)))</f>
        <v>481</v>
      </c>
      <c r="X951" s="227">
        <f t="shared" si="132"/>
        <v>0</v>
      </c>
      <c r="AB951" s="228" t="str">
        <f t="shared" si="133"/>
        <v>TinMetallo Spain S.L.U.</v>
      </c>
    </row>
    <row r="952" spans="1:28" s="227" customFormat="1" ht="40.5">
      <c r="A952" s="301" t="s">
        <v>1803</v>
      </c>
      <c r="B952" s="293" t="s">
        <v>1120</v>
      </c>
      <c r="C952" s="294" t="s">
        <v>12911</v>
      </c>
      <c r="D952" s="295" t="s">
        <v>12911</v>
      </c>
      <c r="E952" s="293" t="s">
        <v>1092</v>
      </c>
      <c r="F952" s="293" t="s">
        <v>1803</v>
      </c>
      <c r="G952" s="293" t="s">
        <v>13217</v>
      </c>
      <c r="H952" s="296" t="s">
        <v>15855</v>
      </c>
      <c r="I952" s="297" t="s">
        <v>1804</v>
      </c>
      <c r="J952" s="297" t="s">
        <v>12390</v>
      </c>
      <c r="K952" s="298" t="s">
        <v>16680</v>
      </c>
      <c r="L952" s="298" t="s">
        <v>16681</v>
      </c>
      <c r="M952" s="298" t="s">
        <v>16682</v>
      </c>
      <c r="N952" s="298" t="s">
        <v>15870</v>
      </c>
      <c r="O952" s="298" t="s">
        <v>16534</v>
      </c>
      <c r="P952" s="299" t="s">
        <v>15857</v>
      </c>
      <c r="Q952" s="300" t="s">
        <v>15855</v>
      </c>
      <c r="R952" s="182" t="str">
        <f ca="1">IF(ISERROR($V952),"",OFFSET('Smelter Look-up'!$C$4,$V952-4,0)&amp;"")</f>
        <v>Aurubis Berango</v>
      </c>
      <c r="S952" s="181" t="str">
        <f t="shared" ca="1" si="131"/>
        <v>ES</v>
      </c>
      <c r="T952" s="181" t="str">
        <f ca="1">IF(B952="","",IF(ISERROR(MATCH($J952,SorP!$B$1:$B$6226,0)),"",INDIRECT("'SorP'!$A$"&amp;MATCH($S952&amp;$J952,SorP!C:C,0))))</f>
        <v>ES-BI</v>
      </c>
      <c r="U952" s="201"/>
      <c r="V952" s="226">
        <f>IF(C952="",NA(),IF(OR(C952="Smelter not listed",C952="Smelter not yet identified"),MATCH($B952&amp;$D952,'Smelter Look-up'!$J:$J,0),MATCH($B952&amp;$C952,'Smelter Look-up'!$J:$J,0)))</f>
        <v>481</v>
      </c>
      <c r="X952" s="227">
        <f t="shared" si="132"/>
        <v>0</v>
      </c>
      <c r="AB952" s="228" t="str">
        <f t="shared" si="133"/>
        <v>TinMetallo Spain S.L.U.</v>
      </c>
    </row>
    <row r="953" spans="1:28" s="227" customFormat="1" ht="40.5">
      <c r="A953" s="301" t="s">
        <v>1803</v>
      </c>
      <c r="B953" s="293" t="s">
        <v>1120</v>
      </c>
      <c r="C953" s="294" t="s">
        <v>12911</v>
      </c>
      <c r="D953" s="295" t="s">
        <v>12911</v>
      </c>
      <c r="E953" s="293" t="s">
        <v>1092</v>
      </c>
      <c r="F953" s="293" t="s">
        <v>1803</v>
      </c>
      <c r="G953" s="293" t="s">
        <v>13217</v>
      </c>
      <c r="H953" s="302" t="s">
        <v>15880</v>
      </c>
      <c r="I953" s="297" t="s">
        <v>1804</v>
      </c>
      <c r="J953" s="297" t="s">
        <v>12390</v>
      </c>
      <c r="K953" s="298" t="s">
        <v>15855</v>
      </c>
      <c r="L953" s="298" t="s">
        <v>15855</v>
      </c>
      <c r="M953" s="298" t="s">
        <v>15855</v>
      </c>
      <c r="N953" s="298" t="s">
        <v>15855</v>
      </c>
      <c r="O953" s="298" t="s">
        <v>15855</v>
      </c>
      <c r="P953" s="299" t="s">
        <v>15857</v>
      </c>
      <c r="Q953" s="300" t="s">
        <v>15855</v>
      </c>
      <c r="R953" s="182" t="str">
        <f ca="1">IF(ISERROR($V953),"",OFFSET('Smelter Look-up'!$C$4,$V953-4,0)&amp;"")</f>
        <v>Aurubis Berango</v>
      </c>
      <c r="S953" s="181" t="str">
        <f t="shared" ca="1" si="131"/>
        <v>ES</v>
      </c>
      <c r="T953" s="181" t="str">
        <f ca="1">IF(B953="","",IF(ISERROR(MATCH($J953,SorP!$B$1:$B$6226,0)),"",INDIRECT("'SorP'!$A$"&amp;MATCH($S953&amp;$J953,SorP!C:C,0))))</f>
        <v>ES-BI</v>
      </c>
      <c r="U953" s="201"/>
      <c r="V953" s="226">
        <f>IF(C953="",NA(),IF(OR(C953="Smelter not listed",C953="Smelter not yet identified"),MATCH($B953&amp;$D953,'Smelter Look-up'!$J:$J,0),MATCH($B953&amp;$C953,'Smelter Look-up'!$J:$J,0)))</f>
        <v>481</v>
      </c>
      <c r="X953" s="227">
        <f t="shared" si="132"/>
        <v>0</v>
      </c>
      <c r="AB953" s="228" t="str">
        <f t="shared" si="133"/>
        <v>TinMetallo Spain S.L.U.</v>
      </c>
    </row>
    <row r="954" spans="1:28" s="227" customFormat="1" ht="54">
      <c r="A954" s="301" t="s">
        <v>1801</v>
      </c>
      <c r="B954" s="293" t="s">
        <v>1120</v>
      </c>
      <c r="C954" s="294" t="s">
        <v>16685</v>
      </c>
      <c r="D954" s="295" t="s">
        <v>16685</v>
      </c>
      <c r="E954" s="293" t="s">
        <v>1085</v>
      </c>
      <c r="F954" s="293" t="s">
        <v>1801</v>
      </c>
      <c r="G954" s="293" t="s">
        <v>15864</v>
      </c>
      <c r="H954" s="296" t="s">
        <v>15855</v>
      </c>
      <c r="I954" s="297" t="s">
        <v>1802</v>
      </c>
      <c r="J954" s="297" t="s">
        <v>3135</v>
      </c>
      <c r="K954" s="298" t="s">
        <v>15855</v>
      </c>
      <c r="L954" s="298" t="s">
        <v>15855</v>
      </c>
      <c r="M954" s="298" t="s">
        <v>15855</v>
      </c>
      <c r="N954" s="298" t="s">
        <v>15855</v>
      </c>
      <c r="O954" s="298" t="s">
        <v>15855</v>
      </c>
      <c r="P954" s="299" t="s">
        <v>15857</v>
      </c>
      <c r="Q954" s="300" t="s">
        <v>15855</v>
      </c>
      <c r="R954" s="182" t="str">
        <f ca="1">IF(ISERROR($V954),"",OFFSET('Smelter Look-up'!$C$4,$V954-4,0)&amp;"")</f>
        <v/>
      </c>
      <c r="S954" s="181" t="str">
        <f t="shared" ca="1" si="131"/>
        <v>BE</v>
      </c>
      <c r="T954" s="181" t="str">
        <f ca="1">IF(B954="","",IF(ISERROR(MATCH($J954,SorP!$B$1:$B$6226,0)),"",INDIRECT("'SorP'!$A$"&amp;MATCH($S954&amp;$J954,SorP!C:C,0))))</f>
        <v>BE-VAN</v>
      </c>
      <c r="U954" s="201"/>
      <c r="V954" s="226" t="e">
        <f>IF(C954="",NA(),IF(OR(C954="Smelter not listed",C954="Smelter not yet identified"),MATCH($B954&amp;$D954,'Smelter Look-up'!$J:$J,0),MATCH($B954&amp;$C954,'Smelter Look-up'!$J:$J,0)))</f>
        <v>#N/A</v>
      </c>
      <c r="X954" s="227">
        <f t="shared" si="132"/>
        <v>0</v>
      </c>
      <c r="AB954" s="228" t="str">
        <f t="shared" si="133"/>
        <v>TinMetallo-Chimique N.V.</v>
      </c>
    </row>
    <row r="955" spans="1:28" s="227" customFormat="1" ht="54">
      <c r="A955" s="301" t="s">
        <v>767</v>
      </c>
      <c r="B955" s="293" t="s">
        <v>1120</v>
      </c>
      <c r="C955" s="294" t="s">
        <v>12408</v>
      </c>
      <c r="D955" s="295" t="s">
        <v>12408</v>
      </c>
      <c r="E955" s="293" t="s">
        <v>1086</v>
      </c>
      <c r="F955" s="293" t="s">
        <v>767</v>
      </c>
      <c r="G955" s="293" t="s">
        <v>13217</v>
      </c>
      <c r="H955" s="296" t="s">
        <v>15855</v>
      </c>
      <c r="I955" s="297" t="s">
        <v>1769</v>
      </c>
      <c r="J955" s="297" t="s">
        <v>1666</v>
      </c>
      <c r="K955" s="298" t="s">
        <v>15855</v>
      </c>
      <c r="L955" s="298" t="s">
        <v>15855</v>
      </c>
      <c r="M955" s="298" t="s">
        <v>15855</v>
      </c>
      <c r="N955" s="298" t="s">
        <v>15855</v>
      </c>
      <c r="O955" s="298" t="s">
        <v>15855</v>
      </c>
      <c r="P955" s="299" t="s">
        <v>15857</v>
      </c>
      <c r="Q955" s="300" t="s">
        <v>15855</v>
      </c>
      <c r="R955" s="182" t="str">
        <f ca="1">IF(ISERROR($V955),"",OFFSET('Smelter Look-up'!$C$4,$V955-4,0)&amp;"")</f>
        <v>Mineracao Taboca S.A.</v>
      </c>
      <c r="S955" s="181" t="str">
        <f t="shared" ref="S955" ca="1" si="134">IF(B955="","",IF(ISERROR(MATCH($E955,CL,0)),"Unknown",INDIRECT("'C'!$A$"&amp;MATCH($E955,CL,0)+1)))</f>
        <v>BR</v>
      </c>
      <c r="T955" s="181" t="str">
        <f ca="1">IF(B955="","",IF(ISERROR(MATCH($J955,SorP!$B$1:$B$6226,0)),"",INDIRECT("'SorP'!$A$"&amp;MATCH($S955&amp;$J955,SorP!C:C,0))))</f>
        <v>BR-SP</v>
      </c>
      <c r="U955" s="201"/>
      <c r="V955" s="226">
        <f>IF(C955="",NA(),IF(OR(C955="Smelter not listed",C955="Smelter not yet identified"),MATCH($B955&amp;$D955,'Smelter Look-up'!$J:$J,0),MATCH($B955&amp;$C955,'Smelter Look-up'!$J:$J,0)))</f>
        <v>482</v>
      </c>
      <c r="X955" s="227">
        <f t="shared" ref="X955" si="135">IF(AND(C955="Smelter not listed",OR(LEN(D955)=0,LEN(E955)=0)),1,0)</f>
        <v>0</v>
      </c>
      <c r="AB955" s="228" t="str">
        <f t="shared" ref="AB955" si="136">B955&amp;C955</f>
        <v>TinMineracao Taboca S.A.</v>
      </c>
    </row>
    <row r="956" spans="1:28" s="227" customFormat="1" ht="54">
      <c r="A956" s="301" t="s">
        <v>767</v>
      </c>
      <c r="B956" s="293" t="s">
        <v>1120</v>
      </c>
      <c r="C956" s="294" t="s">
        <v>12408</v>
      </c>
      <c r="D956" s="295" t="s">
        <v>12408</v>
      </c>
      <c r="E956" s="293" t="s">
        <v>1086</v>
      </c>
      <c r="F956" s="293" t="s">
        <v>767</v>
      </c>
      <c r="G956" s="293" t="s">
        <v>13217</v>
      </c>
      <c r="H956" s="296" t="s">
        <v>15855</v>
      </c>
      <c r="I956" s="297" t="s">
        <v>1769</v>
      </c>
      <c r="J956" s="297" t="s">
        <v>1666</v>
      </c>
      <c r="K956" s="298" t="s">
        <v>15855</v>
      </c>
      <c r="L956" s="298" t="s">
        <v>15855</v>
      </c>
      <c r="M956" s="298" t="s">
        <v>15855</v>
      </c>
      <c r="N956" s="298" t="s">
        <v>15855</v>
      </c>
      <c r="O956" s="298" t="s">
        <v>15855</v>
      </c>
      <c r="P956" s="299" t="s">
        <v>15857</v>
      </c>
      <c r="Q956" s="300" t="s">
        <v>16531</v>
      </c>
      <c r="R956" s="182" t="str">
        <f ca="1">IF(ISERROR($V956),"",OFFSET('Smelter Look-up'!$C$4,$V956-4,0)&amp;"")</f>
        <v>Mineracao Taboca S.A.</v>
      </c>
      <c r="S956" s="181" t="str">
        <f t="shared" ref="S956:S987" ca="1" si="137">IF(B956="","",IF(ISERROR(MATCH($E956,CL,0)),"Unknown",INDIRECT("'C'!$A$"&amp;MATCH($E956,CL,0)+1)))</f>
        <v>BR</v>
      </c>
      <c r="T956" s="181" t="str">
        <f ca="1">IF(B956="","",IF(ISERROR(MATCH($J956,SorP!$B$1:$B$6226,0)),"",INDIRECT("'SorP'!$A$"&amp;MATCH($S956&amp;$J956,SorP!C:C,0))))</f>
        <v>BR-SP</v>
      </c>
      <c r="U956" s="201"/>
      <c r="V956" s="226">
        <f>IF(C956="",NA(),IF(OR(C956="Smelter not listed",C956="Smelter not yet identified"),MATCH($B956&amp;$D956,'Smelter Look-up'!$J:$J,0),MATCH($B956&amp;$C956,'Smelter Look-up'!$J:$J,0)))</f>
        <v>482</v>
      </c>
      <c r="X956" s="227">
        <f t="shared" ref="X956:X987" si="138">IF(AND(C956="Smelter not listed",OR(LEN(D956)=0,LEN(E956)=0)),1,0)</f>
        <v>0</v>
      </c>
      <c r="AB956" s="228" t="str">
        <f t="shared" ref="AB956:AB987" si="139">B956&amp;C956</f>
        <v>TinMineracao Taboca S.A.</v>
      </c>
    </row>
    <row r="957" spans="1:28" s="227" customFormat="1" ht="54">
      <c r="A957" s="301" t="s">
        <v>767</v>
      </c>
      <c r="B957" s="293" t="s">
        <v>1120</v>
      </c>
      <c r="C957" s="294" t="s">
        <v>12408</v>
      </c>
      <c r="D957" s="295" t="s">
        <v>12408</v>
      </c>
      <c r="E957" s="293" t="s">
        <v>1086</v>
      </c>
      <c r="F957" s="293" t="s">
        <v>767</v>
      </c>
      <c r="G957" s="293" t="s">
        <v>13217</v>
      </c>
      <c r="H957" s="296" t="s">
        <v>15855</v>
      </c>
      <c r="I957" s="297" t="s">
        <v>1769</v>
      </c>
      <c r="J957" s="297" t="s">
        <v>1666</v>
      </c>
      <c r="K957" s="298" t="s">
        <v>15855</v>
      </c>
      <c r="L957" s="298" t="s">
        <v>15855</v>
      </c>
      <c r="M957" s="298" t="s">
        <v>15855</v>
      </c>
      <c r="N957" s="298" t="s">
        <v>15855</v>
      </c>
      <c r="O957" s="298" t="s">
        <v>15855</v>
      </c>
      <c r="P957" s="299" t="s">
        <v>15875</v>
      </c>
      <c r="Q957" s="300" t="s">
        <v>15855</v>
      </c>
      <c r="R957" s="182" t="str">
        <f ca="1">IF(ISERROR($V957),"",OFFSET('Smelter Look-up'!$C$4,$V957-4,0)&amp;"")</f>
        <v>Mineracao Taboca S.A.</v>
      </c>
      <c r="S957" s="181" t="str">
        <f t="shared" ca="1" si="137"/>
        <v>BR</v>
      </c>
      <c r="T957" s="181" t="str">
        <f ca="1">IF(B957="","",IF(ISERROR(MATCH($J957,SorP!$B$1:$B$6226,0)),"",INDIRECT("'SorP'!$A$"&amp;MATCH($S957&amp;$J957,SorP!C:C,0))))</f>
        <v>BR-SP</v>
      </c>
      <c r="U957" s="201"/>
      <c r="V957" s="226">
        <f>IF(C957="",NA(),IF(OR(C957="Smelter not listed",C957="Smelter not yet identified"),MATCH($B957&amp;$D957,'Smelter Look-up'!$J:$J,0),MATCH($B957&amp;$C957,'Smelter Look-up'!$J:$J,0)))</f>
        <v>482</v>
      </c>
      <c r="X957" s="227">
        <f t="shared" si="138"/>
        <v>0</v>
      </c>
      <c r="AB957" s="228" t="str">
        <f t="shared" si="139"/>
        <v>TinMineracao Taboca S.A.</v>
      </c>
    </row>
    <row r="958" spans="1:28" s="227" customFormat="1" ht="54">
      <c r="A958" s="301" t="s">
        <v>767</v>
      </c>
      <c r="B958" s="293" t="s">
        <v>1120</v>
      </c>
      <c r="C958" s="294" t="s">
        <v>12408</v>
      </c>
      <c r="D958" s="295" t="s">
        <v>12408</v>
      </c>
      <c r="E958" s="293" t="s">
        <v>1086</v>
      </c>
      <c r="F958" s="293" t="s">
        <v>767</v>
      </c>
      <c r="G958" s="293" t="s">
        <v>13217</v>
      </c>
      <c r="H958" s="296" t="s">
        <v>15855</v>
      </c>
      <c r="I958" s="297" t="s">
        <v>1769</v>
      </c>
      <c r="J958" s="297" t="s">
        <v>1666</v>
      </c>
      <c r="K958" s="298" t="s">
        <v>15855</v>
      </c>
      <c r="L958" s="298" t="s">
        <v>15855</v>
      </c>
      <c r="M958" s="298" t="s">
        <v>15855</v>
      </c>
      <c r="N958" s="298" t="s">
        <v>15855</v>
      </c>
      <c r="O958" s="298" t="s">
        <v>16686</v>
      </c>
      <c r="P958" s="299" t="s">
        <v>15857</v>
      </c>
      <c r="Q958" s="300" t="s">
        <v>15855</v>
      </c>
      <c r="R958" s="182" t="str">
        <f ca="1">IF(ISERROR($V958),"",OFFSET('Smelter Look-up'!$C$4,$V958-4,0)&amp;"")</f>
        <v>Mineracao Taboca S.A.</v>
      </c>
      <c r="S958" s="181" t="str">
        <f t="shared" ca="1" si="137"/>
        <v>BR</v>
      </c>
      <c r="T958" s="181" t="str">
        <f ca="1">IF(B958="","",IF(ISERROR(MATCH($J958,SorP!$B$1:$B$6226,0)),"",INDIRECT("'SorP'!$A$"&amp;MATCH($S958&amp;$J958,SorP!C:C,0))))</f>
        <v>BR-SP</v>
      </c>
      <c r="U958" s="201"/>
      <c r="V958" s="226">
        <f>IF(C958="",NA(),IF(OR(C958="Smelter not listed",C958="Smelter not yet identified"),MATCH($B958&amp;$D958,'Smelter Look-up'!$J:$J,0),MATCH($B958&amp;$C958,'Smelter Look-up'!$J:$J,0)))</f>
        <v>482</v>
      </c>
      <c r="X958" s="227">
        <f t="shared" si="138"/>
        <v>0</v>
      </c>
      <c r="AB958" s="228" t="str">
        <f t="shared" si="139"/>
        <v>TinMineracao Taboca S.A.</v>
      </c>
    </row>
    <row r="959" spans="1:28" s="227" customFormat="1" ht="54">
      <c r="A959" s="301" t="s">
        <v>767</v>
      </c>
      <c r="B959" s="293" t="s">
        <v>1120</v>
      </c>
      <c r="C959" s="294" t="s">
        <v>12408</v>
      </c>
      <c r="D959" s="295" t="s">
        <v>12408</v>
      </c>
      <c r="E959" s="293" t="s">
        <v>1086</v>
      </c>
      <c r="F959" s="293" t="s">
        <v>767</v>
      </c>
      <c r="G959" s="293" t="s">
        <v>13217</v>
      </c>
      <c r="H959" s="296" t="s">
        <v>15855</v>
      </c>
      <c r="I959" s="297" t="s">
        <v>1769</v>
      </c>
      <c r="J959" s="297" t="s">
        <v>1666</v>
      </c>
      <c r="K959" s="298" t="s">
        <v>16454</v>
      </c>
      <c r="L959" s="298" t="s">
        <v>16455</v>
      </c>
      <c r="M959" s="298" t="s">
        <v>15869</v>
      </c>
      <c r="N959" s="298" t="s">
        <v>16687</v>
      </c>
      <c r="O959" s="298" t="s">
        <v>16688</v>
      </c>
      <c r="P959" s="299" t="s">
        <v>15857</v>
      </c>
      <c r="Q959" s="300" t="s">
        <v>15855</v>
      </c>
      <c r="R959" s="182" t="str">
        <f ca="1">IF(ISERROR($V959),"",OFFSET('Smelter Look-up'!$C$4,$V959-4,0)&amp;"")</f>
        <v>Mineracao Taboca S.A.</v>
      </c>
      <c r="S959" s="181" t="str">
        <f t="shared" ca="1" si="137"/>
        <v>BR</v>
      </c>
      <c r="T959" s="181" t="str">
        <f ca="1">IF(B959="","",IF(ISERROR(MATCH($J959,SorP!$B$1:$B$6226,0)),"",INDIRECT("'SorP'!$A$"&amp;MATCH($S959&amp;$J959,SorP!C:C,0))))</f>
        <v>BR-SP</v>
      </c>
      <c r="U959" s="201"/>
      <c r="V959" s="226">
        <f>IF(C959="",NA(),IF(OR(C959="Smelter not listed",C959="Smelter not yet identified"),MATCH($B959&amp;$D959,'Smelter Look-up'!$J:$J,0),MATCH($B959&amp;$C959,'Smelter Look-up'!$J:$J,0)))</f>
        <v>482</v>
      </c>
      <c r="X959" s="227">
        <f t="shared" si="138"/>
        <v>0</v>
      </c>
      <c r="AB959" s="228" t="str">
        <f t="shared" si="139"/>
        <v>TinMineracao Taboca S.A.</v>
      </c>
    </row>
    <row r="960" spans="1:28" s="227" customFormat="1" ht="54">
      <c r="A960" s="301" t="s">
        <v>767</v>
      </c>
      <c r="B960" s="293" t="s">
        <v>1120</v>
      </c>
      <c r="C960" s="294" t="s">
        <v>12408</v>
      </c>
      <c r="D960" s="295" t="s">
        <v>12408</v>
      </c>
      <c r="E960" s="293" t="s">
        <v>1086</v>
      </c>
      <c r="F960" s="293" t="s">
        <v>767</v>
      </c>
      <c r="G960" s="293" t="s">
        <v>13217</v>
      </c>
      <c r="H960" s="296" t="s">
        <v>15855</v>
      </c>
      <c r="I960" s="297" t="s">
        <v>1769</v>
      </c>
      <c r="J960" s="297" t="s">
        <v>1666</v>
      </c>
      <c r="K960" s="298" t="s">
        <v>16689</v>
      </c>
      <c r="L960" s="298" t="s">
        <v>16690</v>
      </c>
      <c r="M960" s="298" t="s">
        <v>16345</v>
      </c>
      <c r="N960" s="298" t="s">
        <v>16540</v>
      </c>
      <c r="O960" s="298" t="s">
        <v>16540</v>
      </c>
      <c r="P960" s="299" t="s">
        <v>15857</v>
      </c>
      <c r="Q960" s="300" t="s">
        <v>15855</v>
      </c>
      <c r="R960" s="182" t="str">
        <f ca="1">IF(ISERROR($V960),"",OFFSET('Smelter Look-up'!$C$4,$V960-4,0)&amp;"")</f>
        <v>Mineracao Taboca S.A.</v>
      </c>
      <c r="S960" s="181" t="str">
        <f t="shared" ca="1" si="137"/>
        <v>BR</v>
      </c>
      <c r="T960" s="181" t="str">
        <f ca="1">IF(B960="","",IF(ISERROR(MATCH($J960,SorP!$B$1:$B$6226,0)),"",INDIRECT("'SorP'!$A$"&amp;MATCH($S960&amp;$J960,SorP!C:C,0))))</f>
        <v>BR-SP</v>
      </c>
      <c r="U960" s="201"/>
      <c r="V960" s="226">
        <f>IF(C960="",NA(),IF(OR(C960="Smelter not listed",C960="Smelter not yet identified"),MATCH($B960&amp;$D960,'Smelter Look-up'!$J:$J,0),MATCH($B960&amp;$C960,'Smelter Look-up'!$J:$J,0)))</f>
        <v>482</v>
      </c>
      <c r="X960" s="227">
        <f t="shared" si="138"/>
        <v>0</v>
      </c>
      <c r="AB960" s="228" t="str">
        <f t="shared" si="139"/>
        <v>TinMineracao Taboca S.A.</v>
      </c>
    </row>
    <row r="961" spans="1:28" s="227" customFormat="1" ht="54">
      <c r="A961" s="301" t="s">
        <v>767</v>
      </c>
      <c r="B961" s="293" t="s">
        <v>1120</v>
      </c>
      <c r="C961" s="294" t="s">
        <v>12408</v>
      </c>
      <c r="D961" s="295" t="s">
        <v>12408</v>
      </c>
      <c r="E961" s="293" t="s">
        <v>1086</v>
      </c>
      <c r="F961" s="293" t="s">
        <v>767</v>
      </c>
      <c r="G961" s="293" t="s">
        <v>13217</v>
      </c>
      <c r="H961" s="302" t="s">
        <v>15880</v>
      </c>
      <c r="I961" s="297" t="s">
        <v>1769</v>
      </c>
      <c r="J961" s="297" t="s">
        <v>1666</v>
      </c>
      <c r="K961" s="298" t="s">
        <v>15855</v>
      </c>
      <c r="L961" s="298" t="s">
        <v>15855</v>
      </c>
      <c r="M961" s="298" t="s">
        <v>15855</v>
      </c>
      <c r="N961" s="298" t="s">
        <v>15855</v>
      </c>
      <c r="O961" s="298" t="s">
        <v>15855</v>
      </c>
      <c r="P961" s="299" t="s">
        <v>15857</v>
      </c>
      <c r="Q961" s="300" t="s">
        <v>15855</v>
      </c>
      <c r="R961" s="182" t="str">
        <f ca="1">IF(ISERROR($V961),"",OFFSET('Smelter Look-up'!$C$4,$V961-4,0)&amp;"")</f>
        <v>Mineracao Taboca S.A.</v>
      </c>
      <c r="S961" s="181" t="str">
        <f t="shared" ca="1" si="137"/>
        <v>BR</v>
      </c>
      <c r="T961" s="181" t="str">
        <f ca="1">IF(B961="","",IF(ISERROR(MATCH($J961,SorP!$B$1:$B$6226,0)),"",INDIRECT("'SorP'!$A$"&amp;MATCH($S961&amp;$J961,SorP!C:C,0))))</f>
        <v>BR-SP</v>
      </c>
      <c r="U961" s="201"/>
      <c r="V961" s="226">
        <f>IF(C961="",NA(),IF(OR(C961="Smelter not listed",C961="Smelter not yet identified"),MATCH($B961&amp;$D961,'Smelter Look-up'!$J:$J,0),MATCH($B961&amp;$C961,'Smelter Look-up'!$J:$J,0)))</f>
        <v>482</v>
      </c>
      <c r="X961" s="227">
        <f t="shared" si="138"/>
        <v>0</v>
      </c>
      <c r="AB961" s="228" t="str">
        <f t="shared" si="139"/>
        <v>TinMineracao Taboca S.A.</v>
      </c>
    </row>
    <row r="962" spans="1:28" s="227" customFormat="1" ht="54">
      <c r="A962" s="301" t="s">
        <v>767</v>
      </c>
      <c r="B962" s="293" t="s">
        <v>1120</v>
      </c>
      <c r="C962" s="294" t="s">
        <v>12408</v>
      </c>
      <c r="D962" s="295" t="s">
        <v>12408</v>
      </c>
      <c r="E962" s="293" t="s">
        <v>1086</v>
      </c>
      <c r="F962" s="293" t="s">
        <v>767</v>
      </c>
      <c r="G962" s="293" t="s">
        <v>13217</v>
      </c>
      <c r="H962" s="302" t="s">
        <v>15880</v>
      </c>
      <c r="I962" s="297" t="s">
        <v>1769</v>
      </c>
      <c r="J962" s="297" t="s">
        <v>1666</v>
      </c>
      <c r="K962" s="298" t="s">
        <v>16691</v>
      </c>
      <c r="L962" s="298" t="s">
        <v>16459</v>
      </c>
      <c r="M962" s="298" t="s">
        <v>16692</v>
      </c>
      <c r="N962" s="298" t="s">
        <v>16693</v>
      </c>
      <c r="O962" s="298" t="s">
        <v>16693</v>
      </c>
      <c r="P962" s="299" t="s">
        <v>15857</v>
      </c>
      <c r="Q962" s="300" t="s">
        <v>16569</v>
      </c>
      <c r="R962" s="182" t="str">
        <f ca="1">IF(ISERROR($V962),"",OFFSET('Smelter Look-up'!$C$4,$V962-4,0)&amp;"")</f>
        <v>Mineracao Taboca S.A.</v>
      </c>
      <c r="S962" s="181" t="str">
        <f t="shared" ca="1" si="137"/>
        <v>BR</v>
      </c>
      <c r="T962" s="181" t="str">
        <f ca="1">IF(B962="","",IF(ISERROR(MATCH($J962,SorP!$B$1:$B$6226,0)),"",INDIRECT("'SorP'!$A$"&amp;MATCH($S962&amp;$J962,SorP!C:C,0))))</f>
        <v>BR-SP</v>
      </c>
      <c r="U962" s="201"/>
      <c r="V962" s="226">
        <f>IF(C962="",NA(),IF(OR(C962="Smelter not listed",C962="Smelter not yet identified"),MATCH($B962&amp;$D962,'Smelter Look-up'!$J:$J,0),MATCH($B962&amp;$C962,'Smelter Look-up'!$J:$J,0)))</f>
        <v>482</v>
      </c>
      <c r="X962" s="227">
        <f t="shared" si="138"/>
        <v>0</v>
      </c>
      <c r="AB962" s="228" t="str">
        <f t="shared" si="139"/>
        <v>TinMineracao Taboca S.A.</v>
      </c>
    </row>
    <row r="963" spans="1:28" s="227" customFormat="1" ht="54">
      <c r="A963" s="301" t="s">
        <v>767</v>
      </c>
      <c r="B963" s="293" t="s">
        <v>1120</v>
      </c>
      <c r="C963" s="294" t="s">
        <v>12408</v>
      </c>
      <c r="D963" s="295" t="s">
        <v>12408</v>
      </c>
      <c r="E963" s="293" t="s">
        <v>1086</v>
      </c>
      <c r="F963" s="293" t="s">
        <v>767</v>
      </c>
      <c r="G963" s="293" t="s">
        <v>13217</v>
      </c>
      <c r="H963" s="302" t="s">
        <v>15880</v>
      </c>
      <c r="I963" s="297" t="s">
        <v>1769</v>
      </c>
      <c r="J963" s="297" t="s">
        <v>1666</v>
      </c>
      <c r="K963" s="298" t="s">
        <v>16691</v>
      </c>
      <c r="L963" s="298" t="s">
        <v>16459</v>
      </c>
      <c r="M963" s="298" t="s">
        <v>16345</v>
      </c>
      <c r="N963" s="298" t="s">
        <v>16540</v>
      </c>
      <c r="O963" s="298" t="s">
        <v>16540</v>
      </c>
      <c r="P963" s="299" t="s">
        <v>15857</v>
      </c>
      <c r="Q963" s="300" t="s">
        <v>16694</v>
      </c>
      <c r="R963" s="182" t="str">
        <f ca="1">IF(ISERROR($V963),"",OFFSET('Smelter Look-up'!$C$4,$V963-4,0)&amp;"")</f>
        <v>Mineracao Taboca S.A.</v>
      </c>
      <c r="S963" s="181" t="str">
        <f t="shared" ca="1" si="137"/>
        <v>BR</v>
      </c>
      <c r="T963" s="181" t="str">
        <f ca="1">IF(B963="","",IF(ISERROR(MATCH($J963,SorP!$B$1:$B$6226,0)),"",INDIRECT("'SorP'!$A$"&amp;MATCH($S963&amp;$J963,SorP!C:C,0))))</f>
        <v>BR-SP</v>
      </c>
      <c r="U963" s="201"/>
      <c r="V963" s="226">
        <f>IF(C963="",NA(),IF(OR(C963="Smelter not listed",C963="Smelter not yet identified"),MATCH($B963&amp;$D963,'Smelter Look-up'!$J:$J,0),MATCH($B963&amp;$C963,'Smelter Look-up'!$J:$J,0)))</f>
        <v>482</v>
      </c>
      <c r="X963" s="227">
        <f t="shared" si="138"/>
        <v>0</v>
      </c>
      <c r="AB963" s="228" t="str">
        <f t="shared" si="139"/>
        <v>TinMineracao Taboca S.A.</v>
      </c>
    </row>
    <row r="964" spans="1:28" s="227" customFormat="1" ht="54">
      <c r="A964" s="301" t="s">
        <v>767</v>
      </c>
      <c r="B964" s="293" t="s">
        <v>1120</v>
      </c>
      <c r="C964" s="294" t="s">
        <v>12408</v>
      </c>
      <c r="D964" s="295" t="s">
        <v>12408</v>
      </c>
      <c r="E964" s="293" t="s">
        <v>1086</v>
      </c>
      <c r="F964" s="293" t="s">
        <v>767</v>
      </c>
      <c r="G964" s="293" t="s">
        <v>13217</v>
      </c>
      <c r="H964" s="296" t="s">
        <v>16695</v>
      </c>
      <c r="I964" s="297" t="s">
        <v>1769</v>
      </c>
      <c r="J964" s="297" t="s">
        <v>1666</v>
      </c>
      <c r="K964" s="298" t="s">
        <v>16696</v>
      </c>
      <c r="L964" s="298" t="s">
        <v>16697</v>
      </c>
      <c r="M964" s="298" t="s">
        <v>16562</v>
      </c>
      <c r="N964" s="298" t="s">
        <v>16687</v>
      </c>
      <c r="O964" s="298" t="s">
        <v>16698</v>
      </c>
      <c r="P964" s="299" t="s">
        <v>15857</v>
      </c>
      <c r="Q964" s="300" t="s">
        <v>16699</v>
      </c>
      <c r="R964" s="182" t="str">
        <f ca="1">IF(ISERROR($V964),"",OFFSET('Smelter Look-up'!$C$4,$V964-4,0)&amp;"")</f>
        <v>Mineracao Taboca S.A.</v>
      </c>
      <c r="S964" s="181" t="str">
        <f t="shared" ca="1" si="137"/>
        <v>BR</v>
      </c>
      <c r="T964" s="181" t="str">
        <f ca="1">IF(B964="","",IF(ISERROR(MATCH($J964,SorP!$B$1:$B$6226,0)),"",INDIRECT("'SorP'!$A$"&amp;MATCH($S964&amp;$J964,SorP!C:C,0))))</f>
        <v>BR-SP</v>
      </c>
      <c r="U964" s="201"/>
      <c r="V964" s="226">
        <f>IF(C964="",NA(),IF(OR(C964="Smelter not listed",C964="Smelter not yet identified"),MATCH($B964&amp;$D964,'Smelter Look-up'!$J:$J,0),MATCH($B964&amp;$C964,'Smelter Look-up'!$J:$J,0)))</f>
        <v>482</v>
      </c>
      <c r="X964" s="227">
        <f t="shared" si="138"/>
        <v>0</v>
      </c>
      <c r="AB964" s="228" t="str">
        <f t="shared" si="139"/>
        <v>TinMineracao Taboca S.A.</v>
      </c>
    </row>
    <row r="965" spans="1:28" s="227" customFormat="1" ht="27">
      <c r="A965" s="301" t="s">
        <v>768</v>
      </c>
      <c r="B965" s="293" t="s">
        <v>1120</v>
      </c>
      <c r="C965" s="294" t="s">
        <v>1024</v>
      </c>
      <c r="D965" s="295" t="s">
        <v>1024</v>
      </c>
      <c r="E965" s="293" t="s">
        <v>870</v>
      </c>
      <c r="F965" s="293" t="s">
        <v>768</v>
      </c>
      <c r="G965" s="293" t="s">
        <v>13217</v>
      </c>
      <c r="H965" s="296" t="s">
        <v>15855</v>
      </c>
      <c r="I965" s="297" t="s">
        <v>1771</v>
      </c>
      <c r="J965" s="297" t="s">
        <v>9093</v>
      </c>
      <c r="K965" s="298" t="s">
        <v>15855</v>
      </c>
      <c r="L965" s="298" t="s">
        <v>15855</v>
      </c>
      <c r="M965" s="298" t="s">
        <v>15855</v>
      </c>
      <c r="N965" s="298" t="s">
        <v>15855</v>
      </c>
      <c r="O965" s="298" t="s">
        <v>15855</v>
      </c>
      <c r="P965" s="299" t="s">
        <v>15857</v>
      </c>
      <c r="Q965" s="300" t="s">
        <v>15855</v>
      </c>
      <c r="R965" s="182" t="str">
        <f ca="1">IF(ISERROR($V965),"",OFFSET('Smelter Look-up'!$C$4,$V965-4,0)&amp;"")</f>
        <v>Minsur</v>
      </c>
      <c r="S965" s="181" t="str">
        <f t="shared" ca="1" si="137"/>
        <v>PE</v>
      </c>
      <c r="T965" s="181" t="str">
        <f ca="1">IF(B965="","",IF(ISERROR(MATCH($J965,SorP!$B$1:$B$6226,0)),"",INDIRECT("'SorP'!$A$"&amp;MATCH($S965&amp;$J965,SorP!C:C,0))))</f>
        <v>PE-ICA</v>
      </c>
      <c r="U965" s="201"/>
      <c r="V965" s="226">
        <f>IF(C965="",NA(),IF(OR(C965="Smelter not listed",C965="Smelter not yet identified"),MATCH($B965&amp;$D965,'Smelter Look-up'!$J:$J,0),MATCH($B965&amp;$C965,'Smelter Look-up'!$J:$J,0)))</f>
        <v>487</v>
      </c>
      <c r="X965" s="227">
        <f t="shared" si="138"/>
        <v>0</v>
      </c>
      <c r="AB965" s="228" t="str">
        <f t="shared" si="139"/>
        <v>TinMinsur</v>
      </c>
    </row>
    <row r="966" spans="1:28" s="227" customFormat="1" ht="27">
      <c r="A966" s="301" t="s">
        <v>768</v>
      </c>
      <c r="B966" s="293" t="s">
        <v>1120</v>
      </c>
      <c r="C966" s="294" t="s">
        <v>1024</v>
      </c>
      <c r="D966" s="295" t="s">
        <v>1024</v>
      </c>
      <c r="E966" s="293" t="s">
        <v>870</v>
      </c>
      <c r="F966" s="293" t="s">
        <v>768</v>
      </c>
      <c r="G966" s="293" t="s">
        <v>13217</v>
      </c>
      <c r="H966" s="296" t="s">
        <v>15855</v>
      </c>
      <c r="I966" s="297" t="s">
        <v>1771</v>
      </c>
      <c r="J966" s="297" t="s">
        <v>9093</v>
      </c>
      <c r="K966" s="298" t="s">
        <v>15855</v>
      </c>
      <c r="L966" s="298" t="s">
        <v>15855</v>
      </c>
      <c r="M966" s="298" t="s">
        <v>15855</v>
      </c>
      <c r="N966" s="298" t="s">
        <v>15855</v>
      </c>
      <c r="O966" s="298" t="s">
        <v>15855</v>
      </c>
      <c r="P966" s="299" t="s">
        <v>15857</v>
      </c>
      <c r="Q966" s="300" t="s">
        <v>16531</v>
      </c>
      <c r="R966" s="182" t="str">
        <f ca="1">IF(ISERROR($V966),"",OFFSET('Smelter Look-up'!$C$4,$V966-4,0)&amp;"")</f>
        <v>Minsur</v>
      </c>
      <c r="S966" s="181" t="str">
        <f t="shared" ca="1" si="137"/>
        <v>PE</v>
      </c>
      <c r="T966" s="181" t="str">
        <f ca="1">IF(B966="","",IF(ISERROR(MATCH($J966,SorP!$B$1:$B$6226,0)),"",INDIRECT("'SorP'!$A$"&amp;MATCH($S966&amp;$J966,SorP!C:C,0))))</f>
        <v>PE-ICA</v>
      </c>
      <c r="U966" s="201"/>
      <c r="V966" s="226">
        <f>IF(C966="",NA(),IF(OR(C966="Smelter not listed",C966="Smelter not yet identified"),MATCH($B966&amp;$D966,'Smelter Look-up'!$J:$J,0),MATCH($B966&amp;$C966,'Smelter Look-up'!$J:$J,0)))</f>
        <v>487</v>
      </c>
      <c r="X966" s="227">
        <f t="shared" si="138"/>
        <v>0</v>
      </c>
      <c r="AB966" s="228" t="str">
        <f t="shared" si="139"/>
        <v>TinMinsur</v>
      </c>
    </row>
    <row r="967" spans="1:28" s="227" customFormat="1" ht="27">
      <c r="A967" s="301" t="s">
        <v>768</v>
      </c>
      <c r="B967" s="293" t="s">
        <v>1120</v>
      </c>
      <c r="C967" s="294" t="s">
        <v>1024</v>
      </c>
      <c r="D967" s="295" t="s">
        <v>1024</v>
      </c>
      <c r="E967" s="293" t="s">
        <v>870</v>
      </c>
      <c r="F967" s="293" t="s">
        <v>768</v>
      </c>
      <c r="G967" s="293" t="s">
        <v>13217</v>
      </c>
      <c r="H967" s="296" t="s">
        <v>15855</v>
      </c>
      <c r="I967" s="297" t="s">
        <v>1771</v>
      </c>
      <c r="J967" s="297" t="s">
        <v>9093</v>
      </c>
      <c r="K967" s="298" t="s">
        <v>15855</v>
      </c>
      <c r="L967" s="298" t="s">
        <v>15855</v>
      </c>
      <c r="M967" s="298" t="s">
        <v>15855</v>
      </c>
      <c r="N967" s="298" t="s">
        <v>15855</v>
      </c>
      <c r="O967" s="298" t="s">
        <v>15855</v>
      </c>
      <c r="P967" s="299" t="s">
        <v>15875</v>
      </c>
      <c r="Q967" s="300" t="s">
        <v>15855</v>
      </c>
      <c r="R967" s="182" t="str">
        <f ca="1">IF(ISERROR($V967),"",OFFSET('Smelter Look-up'!$C$4,$V967-4,0)&amp;"")</f>
        <v>Minsur</v>
      </c>
      <c r="S967" s="181" t="str">
        <f t="shared" ca="1" si="137"/>
        <v>PE</v>
      </c>
      <c r="T967" s="181" t="str">
        <f ca="1">IF(B967="","",IF(ISERROR(MATCH($J967,SorP!$B$1:$B$6226,0)),"",INDIRECT("'SorP'!$A$"&amp;MATCH($S967&amp;$J967,SorP!C:C,0))))</f>
        <v>PE-ICA</v>
      </c>
      <c r="U967" s="201"/>
      <c r="V967" s="226">
        <f>IF(C967="",NA(),IF(OR(C967="Smelter not listed",C967="Smelter not yet identified"),MATCH($B967&amp;$D967,'Smelter Look-up'!$J:$J,0),MATCH($B967&amp;$C967,'Smelter Look-up'!$J:$J,0)))</f>
        <v>487</v>
      </c>
      <c r="X967" s="227">
        <f t="shared" si="138"/>
        <v>0</v>
      </c>
      <c r="AB967" s="228" t="str">
        <f t="shared" si="139"/>
        <v>TinMinsur</v>
      </c>
    </row>
    <row r="968" spans="1:28" s="227" customFormat="1" ht="27">
      <c r="A968" s="301" t="s">
        <v>768</v>
      </c>
      <c r="B968" s="293" t="s">
        <v>1120</v>
      </c>
      <c r="C968" s="294" t="s">
        <v>1024</v>
      </c>
      <c r="D968" s="295" t="s">
        <v>1024</v>
      </c>
      <c r="E968" s="293" t="s">
        <v>870</v>
      </c>
      <c r="F968" s="293" t="s">
        <v>768</v>
      </c>
      <c r="G968" s="293" t="s">
        <v>13217</v>
      </c>
      <c r="H968" s="296" t="s">
        <v>15855</v>
      </c>
      <c r="I968" s="297" t="s">
        <v>1771</v>
      </c>
      <c r="J968" s="297" t="s">
        <v>9093</v>
      </c>
      <c r="K968" s="298" t="s">
        <v>15855</v>
      </c>
      <c r="L968" s="298" t="s">
        <v>15855</v>
      </c>
      <c r="M968" s="298" t="s">
        <v>15855</v>
      </c>
      <c r="N968" s="298" t="s">
        <v>15855</v>
      </c>
      <c r="O968" s="298" t="s">
        <v>16700</v>
      </c>
      <c r="P968" s="299" t="s">
        <v>15857</v>
      </c>
      <c r="Q968" s="300" t="s">
        <v>15855</v>
      </c>
      <c r="R968" s="182" t="str">
        <f ca="1">IF(ISERROR($V968),"",OFFSET('Smelter Look-up'!$C$4,$V968-4,0)&amp;"")</f>
        <v>Minsur</v>
      </c>
      <c r="S968" s="181" t="str">
        <f t="shared" ca="1" si="137"/>
        <v>PE</v>
      </c>
      <c r="T968" s="181" t="str">
        <f ca="1">IF(B968="","",IF(ISERROR(MATCH($J968,SorP!$B$1:$B$6226,0)),"",INDIRECT("'SorP'!$A$"&amp;MATCH($S968&amp;$J968,SorP!C:C,0))))</f>
        <v>PE-ICA</v>
      </c>
      <c r="U968" s="201"/>
      <c r="V968" s="226">
        <f>IF(C968="",NA(),IF(OR(C968="Smelter not listed",C968="Smelter not yet identified"),MATCH($B968&amp;$D968,'Smelter Look-up'!$J:$J,0),MATCH($B968&amp;$C968,'Smelter Look-up'!$J:$J,0)))</f>
        <v>487</v>
      </c>
      <c r="X968" s="227">
        <f t="shared" si="138"/>
        <v>0</v>
      </c>
      <c r="AB968" s="228" t="str">
        <f t="shared" si="139"/>
        <v>TinMinsur</v>
      </c>
    </row>
    <row r="969" spans="1:28" s="227" customFormat="1" ht="27">
      <c r="A969" s="301" t="s">
        <v>768</v>
      </c>
      <c r="B969" s="293" t="s">
        <v>1120</v>
      </c>
      <c r="C969" s="294" t="s">
        <v>1024</v>
      </c>
      <c r="D969" s="295" t="s">
        <v>1024</v>
      </c>
      <c r="E969" s="293" t="s">
        <v>870</v>
      </c>
      <c r="F969" s="293" t="s">
        <v>768</v>
      </c>
      <c r="G969" s="293" t="s">
        <v>13217</v>
      </c>
      <c r="H969" s="296" t="s">
        <v>15855</v>
      </c>
      <c r="I969" s="297" t="s">
        <v>1771</v>
      </c>
      <c r="J969" s="297" t="s">
        <v>9093</v>
      </c>
      <c r="K969" s="298" t="s">
        <v>15855</v>
      </c>
      <c r="L969" s="298" t="s">
        <v>16701</v>
      </c>
      <c r="M969" s="298" t="s">
        <v>16702</v>
      </c>
      <c r="N969" s="298" t="s">
        <v>15855</v>
      </c>
      <c r="O969" s="298" t="s">
        <v>16703</v>
      </c>
      <c r="P969" s="299" t="s">
        <v>15857</v>
      </c>
      <c r="Q969" s="300" t="s">
        <v>485</v>
      </c>
      <c r="R969" s="182" t="str">
        <f ca="1">IF(ISERROR($V969),"",OFFSET('Smelter Look-up'!$C$4,$V969-4,0)&amp;"")</f>
        <v>Minsur</v>
      </c>
      <c r="S969" s="181" t="str">
        <f t="shared" ca="1" si="137"/>
        <v>PE</v>
      </c>
      <c r="T969" s="181" t="str">
        <f ca="1">IF(B969="","",IF(ISERROR(MATCH($J969,SorP!$B$1:$B$6226,0)),"",INDIRECT("'SorP'!$A$"&amp;MATCH($S969&amp;$J969,SorP!C:C,0))))</f>
        <v>PE-ICA</v>
      </c>
      <c r="U969" s="201"/>
      <c r="V969" s="226">
        <f>IF(C969="",NA(),IF(OR(C969="Smelter not listed",C969="Smelter not yet identified"),MATCH($B969&amp;$D969,'Smelter Look-up'!$J:$J,0),MATCH($B969&amp;$C969,'Smelter Look-up'!$J:$J,0)))</f>
        <v>487</v>
      </c>
      <c r="X969" s="227">
        <f t="shared" si="138"/>
        <v>0</v>
      </c>
      <c r="AB969" s="228" t="str">
        <f t="shared" si="139"/>
        <v>TinMinsur</v>
      </c>
    </row>
    <row r="970" spans="1:28" s="227" customFormat="1" ht="27">
      <c r="A970" s="301" t="s">
        <v>768</v>
      </c>
      <c r="B970" s="293" t="s">
        <v>1120</v>
      </c>
      <c r="C970" s="294" t="s">
        <v>1024</v>
      </c>
      <c r="D970" s="295" t="s">
        <v>1024</v>
      </c>
      <c r="E970" s="293" t="s">
        <v>870</v>
      </c>
      <c r="F970" s="293" t="s">
        <v>768</v>
      </c>
      <c r="G970" s="293" t="s">
        <v>13217</v>
      </c>
      <c r="H970" s="296" t="s">
        <v>15855</v>
      </c>
      <c r="I970" s="297" t="s">
        <v>1771</v>
      </c>
      <c r="J970" s="297" t="s">
        <v>9093</v>
      </c>
      <c r="K970" s="298" t="s">
        <v>16704</v>
      </c>
      <c r="L970" s="298" t="s">
        <v>16705</v>
      </c>
      <c r="M970" s="298" t="s">
        <v>15869</v>
      </c>
      <c r="N970" s="298" t="s">
        <v>16706</v>
      </c>
      <c r="O970" s="298" t="s">
        <v>16707</v>
      </c>
      <c r="P970" s="299" t="s">
        <v>15857</v>
      </c>
      <c r="Q970" s="300" t="s">
        <v>15855</v>
      </c>
      <c r="R970" s="182" t="str">
        <f ca="1">IF(ISERROR($V970),"",OFFSET('Smelter Look-up'!$C$4,$V970-4,0)&amp;"")</f>
        <v>Minsur</v>
      </c>
      <c r="S970" s="181" t="str">
        <f t="shared" ca="1" si="137"/>
        <v>PE</v>
      </c>
      <c r="T970" s="181" t="str">
        <f ca="1">IF(B970="","",IF(ISERROR(MATCH($J970,SorP!$B$1:$B$6226,0)),"",INDIRECT("'SorP'!$A$"&amp;MATCH($S970&amp;$J970,SorP!C:C,0))))</f>
        <v>PE-ICA</v>
      </c>
      <c r="U970" s="201"/>
      <c r="V970" s="226">
        <f>IF(C970="",NA(),IF(OR(C970="Smelter not listed",C970="Smelter not yet identified"),MATCH($B970&amp;$D970,'Smelter Look-up'!$J:$J,0),MATCH($B970&amp;$C970,'Smelter Look-up'!$J:$J,0)))</f>
        <v>487</v>
      </c>
      <c r="X970" s="227">
        <f t="shared" si="138"/>
        <v>0</v>
      </c>
      <c r="AB970" s="228" t="str">
        <f t="shared" si="139"/>
        <v>TinMinsur</v>
      </c>
    </row>
    <row r="971" spans="1:28" s="227" customFormat="1" ht="27">
      <c r="A971" s="301" t="s">
        <v>768</v>
      </c>
      <c r="B971" s="293" t="s">
        <v>1120</v>
      </c>
      <c r="C971" s="294" t="s">
        <v>1024</v>
      </c>
      <c r="D971" s="295" t="s">
        <v>1024</v>
      </c>
      <c r="E971" s="293" t="s">
        <v>870</v>
      </c>
      <c r="F971" s="293" t="s">
        <v>768</v>
      </c>
      <c r="G971" s="293" t="s">
        <v>13217</v>
      </c>
      <c r="H971" s="296" t="s">
        <v>15855</v>
      </c>
      <c r="I971" s="297" t="s">
        <v>1771</v>
      </c>
      <c r="J971" s="297" t="s">
        <v>9093</v>
      </c>
      <c r="K971" s="298" t="s">
        <v>16708</v>
      </c>
      <c r="L971" s="298" t="s">
        <v>16709</v>
      </c>
      <c r="M971" s="298" t="s">
        <v>16345</v>
      </c>
      <c r="N971" s="298" t="s">
        <v>16540</v>
      </c>
      <c r="O971" s="298" t="s">
        <v>16540</v>
      </c>
      <c r="P971" s="299" t="s">
        <v>15857</v>
      </c>
      <c r="Q971" s="300" t="s">
        <v>15855</v>
      </c>
      <c r="R971" s="182" t="str">
        <f ca="1">IF(ISERROR($V971),"",OFFSET('Smelter Look-up'!$C$4,$V971-4,0)&amp;"")</f>
        <v>Minsur</v>
      </c>
      <c r="S971" s="181" t="str">
        <f t="shared" ca="1" si="137"/>
        <v>PE</v>
      </c>
      <c r="T971" s="181" t="str">
        <f ca="1">IF(B971="","",IF(ISERROR(MATCH($J971,SorP!$B$1:$B$6226,0)),"",INDIRECT("'SorP'!$A$"&amp;MATCH($S971&amp;$J971,SorP!C:C,0))))</f>
        <v>PE-ICA</v>
      </c>
      <c r="U971" s="201"/>
      <c r="V971" s="226">
        <f>IF(C971="",NA(),IF(OR(C971="Smelter not listed",C971="Smelter not yet identified"),MATCH($B971&amp;$D971,'Smelter Look-up'!$J:$J,0),MATCH($B971&amp;$C971,'Smelter Look-up'!$J:$J,0)))</f>
        <v>487</v>
      </c>
      <c r="X971" s="227">
        <f t="shared" si="138"/>
        <v>0</v>
      </c>
      <c r="AB971" s="228" t="str">
        <f t="shared" si="139"/>
        <v>TinMinsur</v>
      </c>
    </row>
    <row r="972" spans="1:28" s="227" customFormat="1" ht="27">
      <c r="A972" s="301" t="s">
        <v>768</v>
      </c>
      <c r="B972" s="293" t="s">
        <v>1120</v>
      </c>
      <c r="C972" s="294" t="s">
        <v>1024</v>
      </c>
      <c r="D972" s="295" t="s">
        <v>1024</v>
      </c>
      <c r="E972" s="293" t="s">
        <v>870</v>
      </c>
      <c r="F972" s="293" t="s">
        <v>768</v>
      </c>
      <c r="G972" s="293" t="s">
        <v>13217</v>
      </c>
      <c r="H972" s="302" t="s">
        <v>15880</v>
      </c>
      <c r="I972" s="297" t="s">
        <v>1771</v>
      </c>
      <c r="J972" s="297" t="s">
        <v>9093</v>
      </c>
      <c r="K972" s="298" t="s">
        <v>15855</v>
      </c>
      <c r="L972" s="298" t="s">
        <v>15855</v>
      </c>
      <c r="M972" s="298" t="s">
        <v>15855</v>
      </c>
      <c r="N972" s="298" t="s">
        <v>15855</v>
      </c>
      <c r="O972" s="298" t="s">
        <v>15855</v>
      </c>
      <c r="P972" s="299" t="s">
        <v>15857</v>
      </c>
      <c r="Q972" s="300" t="s">
        <v>15855</v>
      </c>
      <c r="R972" s="182" t="str">
        <f ca="1">IF(ISERROR($V972),"",OFFSET('Smelter Look-up'!$C$4,$V972-4,0)&amp;"")</f>
        <v>Minsur</v>
      </c>
      <c r="S972" s="181" t="str">
        <f t="shared" ca="1" si="137"/>
        <v>PE</v>
      </c>
      <c r="T972" s="181" t="str">
        <f ca="1">IF(B972="","",IF(ISERROR(MATCH($J972,SorP!$B$1:$B$6226,0)),"",INDIRECT("'SorP'!$A$"&amp;MATCH($S972&amp;$J972,SorP!C:C,0))))</f>
        <v>PE-ICA</v>
      </c>
      <c r="U972" s="201"/>
      <c r="V972" s="226">
        <f>IF(C972="",NA(),IF(OR(C972="Smelter not listed",C972="Smelter not yet identified"),MATCH($B972&amp;$D972,'Smelter Look-up'!$J:$J,0),MATCH($B972&amp;$C972,'Smelter Look-up'!$J:$J,0)))</f>
        <v>487</v>
      </c>
      <c r="X972" s="227">
        <f t="shared" si="138"/>
        <v>0</v>
      </c>
      <c r="AB972" s="228" t="str">
        <f t="shared" si="139"/>
        <v>TinMinsur</v>
      </c>
    </row>
    <row r="973" spans="1:28" s="227" customFormat="1" ht="27">
      <c r="A973" s="301" t="s">
        <v>768</v>
      </c>
      <c r="B973" s="293" t="s">
        <v>1120</v>
      </c>
      <c r="C973" s="294" t="s">
        <v>1024</v>
      </c>
      <c r="D973" s="295" t="s">
        <v>1024</v>
      </c>
      <c r="E973" s="293" t="s">
        <v>870</v>
      </c>
      <c r="F973" s="293" t="s">
        <v>768</v>
      </c>
      <c r="G973" s="293" t="s">
        <v>13217</v>
      </c>
      <c r="H973" s="302" t="s">
        <v>15880</v>
      </c>
      <c r="I973" s="297" t="s">
        <v>1771</v>
      </c>
      <c r="J973" s="297" t="s">
        <v>9093</v>
      </c>
      <c r="K973" s="298" t="s">
        <v>15855</v>
      </c>
      <c r="L973" s="298" t="s">
        <v>15855</v>
      </c>
      <c r="M973" s="298" t="s">
        <v>15855</v>
      </c>
      <c r="N973" s="298" t="s">
        <v>16710</v>
      </c>
      <c r="O973" s="298" t="s">
        <v>16711</v>
      </c>
      <c r="P973" s="299" t="s">
        <v>15857</v>
      </c>
      <c r="Q973" s="300" t="s">
        <v>15855</v>
      </c>
      <c r="R973" s="182" t="str">
        <f ca="1">IF(ISERROR($V973),"",OFFSET('Smelter Look-up'!$C$4,$V973-4,0)&amp;"")</f>
        <v>Minsur</v>
      </c>
      <c r="S973" s="181" t="str">
        <f t="shared" ca="1" si="137"/>
        <v>PE</v>
      </c>
      <c r="T973" s="181" t="str">
        <f ca="1">IF(B973="","",IF(ISERROR(MATCH($J973,SorP!$B$1:$B$6226,0)),"",INDIRECT("'SorP'!$A$"&amp;MATCH($S973&amp;$J973,SorP!C:C,0))))</f>
        <v>PE-ICA</v>
      </c>
      <c r="U973" s="201"/>
      <c r="V973" s="226">
        <f>IF(C973="",NA(),IF(OR(C973="Smelter not listed",C973="Smelter not yet identified"),MATCH($B973&amp;$D973,'Smelter Look-up'!$J:$J,0),MATCH($B973&amp;$C973,'Smelter Look-up'!$J:$J,0)))</f>
        <v>487</v>
      </c>
      <c r="X973" s="227">
        <f t="shared" si="138"/>
        <v>0</v>
      </c>
      <c r="AB973" s="228" t="str">
        <f t="shared" si="139"/>
        <v>TinMinsur</v>
      </c>
    </row>
    <row r="974" spans="1:28" s="227" customFormat="1" ht="27">
      <c r="A974" s="301" t="s">
        <v>768</v>
      </c>
      <c r="B974" s="293" t="s">
        <v>1120</v>
      </c>
      <c r="C974" s="294" t="s">
        <v>1024</v>
      </c>
      <c r="D974" s="295" t="s">
        <v>1024</v>
      </c>
      <c r="E974" s="293" t="s">
        <v>870</v>
      </c>
      <c r="F974" s="293" t="s">
        <v>768</v>
      </c>
      <c r="G974" s="293" t="s">
        <v>13217</v>
      </c>
      <c r="H974" s="302" t="s">
        <v>15880</v>
      </c>
      <c r="I974" s="297" t="s">
        <v>1771</v>
      </c>
      <c r="J974" s="297" t="s">
        <v>9093</v>
      </c>
      <c r="K974" s="298" t="s">
        <v>15881</v>
      </c>
      <c r="L974" s="298" t="s">
        <v>15881</v>
      </c>
      <c r="M974" s="298" t="s">
        <v>12593</v>
      </c>
      <c r="N974" s="298" t="s">
        <v>15881</v>
      </c>
      <c r="O974" s="298" t="s">
        <v>15881</v>
      </c>
      <c r="P974" s="299" t="s">
        <v>15857</v>
      </c>
      <c r="Q974" s="300" t="s">
        <v>15855</v>
      </c>
      <c r="R974" s="182" t="str">
        <f ca="1">IF(ISERROR($V974),"",OFFSET('Smelter Look-up'!$C$4,$V974-4,0)&amp;"")</f>
        <v>Minsur</v>
      </c>
      <c r="S974" s="181" t="str">
        <f t="shared" ca="1" si="137"/>
        <v>PE</v>
      </c>
      <c r="T974" s="181" t="str">
        <f ca="1">IF(B974="","",IF(ISERROR(MATCH($J974,SorP!$B$1:$B$6226,0)),"",INDIRECT("'SorP'!$A$"&amp;MATCH($S974&amp;$J974,SorP!C:C,0))))</f>
        <v>PE-ICA</v>
      </c>
      <c r="U974" s="201"/>
      <c r="V974" s="226">
        <f>IF(C974="",NA(),IF(OR(C974="Smelter not listed",C974="Smelter not yet identified"),MATCH($B974&amp;$D974,'Smelter Look-up'!$J:$J,0),MATCH($B974&amp;$C974,'Smelter Look-up'!$J:$J,0)))</f>
        <v>487</v>
      </c>
      <c r="X974" s="227">
        <f t="shared" si="138"/>
        <v>0</v>
      </c>
      <c r="AB974" s="228" t="str">
        <f t="shared" si="139"/>
        <v>TinMinsur</v>
      </c>
    </row>
    <row r="975" spans="1:28" s="227" customFormat="1" ht="27">
      <c r="A975" s="301" t="s">
        <v>768</v>
      </c>
      <c r="B975" s="293" t="s">
        <v>1120</v>
      </c>
      <c r="C975" s="294" t="s">
        <v>1024</v>
      </c>
      <c r="D975" s="295" t="s">
        <v>1024</v>
      </c>
      <c r="E975" s="293" t="s">
        <v>870</v>
      </c>
      <c r="F975" s="293" t="s">
        <v>768</v>
      </c>
      <c r="G975" s="293" t="s">
        <v>13217</v>
      </c>
      <c r="H975" s="302" t="s">
        <v>15880</v>
      </c>
      <c r="I975" s="297" t="s">
        <v>1771</v>
      </c>
      <c r="J975" s="297" t="s">
        <v>9093</v>
      </c>
      <c r="K975" s="298" t="s">
        <v>16712</v>
      </c>
      <c r="L975" s="298" t="s">
        <v>16713</v>
      </c>
      <c r="M975" s="298" t="s">
        <v>16345</v>
      </c>
      <c r="N975" s="298" t="s">
        <v>16540</v>
      </c>
      <c r="O975" s="298" t="s">
        <v>16540</v>
      </c>
      <c r="P975" s="299" t="s">
        <v>15857</v>
      </c>
      <c r="Q975" s="300" t="s">
        <v>16569</v>
      </c>
      <c r="R975" s="182" t="str">
        <f ca="1">IF(ISERROR($V975),"",OFFSET('Smelter Look-up'!$C$4,$V975-4,0)&amp;"")</f>
        <v>Minsur</v>
      </c>
      <c r="S975" s="181" t="str">
        <f t="shared" ca="1" si="137"/>
        <v>PE</v>
      </c>
      <c r="T975" s="181" t="str">
        <f ca="1">IF(B975="","",IF(ISERROR(MATCH($J975,SorP!$B$1:$B$6226,0)),"",INDIRECT("'SorP'!$A$"&amp;MATCH($S975&amp;$J975,SorP!C:C,0))))</f>
        <v>PE-ICA</v>
      </c>
      <c r="U975" s="201"/>
      <c r="V975" s="226">
        <f>IF(C975="",NA(),IF(OR(C975="Smelter not listed",C975="Smelter not yet identified"),MATCH($B975&amp;$D975,'Smelter Look-up'!$J:$J,0),MATCH($B975&amp;$C975,'Smelter Look-up'!$J:$J,0)))</f>
        <v>487</v>
      </c>
      <c r="X975" s="227">
        <f t="shared" si="138"/>
        <v>0</v>
      </c>
      <c r="AB975" s="228" t="str">
        <f t="shared" si="139"/>
        <v>TinMinsur</v>
      </c>
    </row>
    <row r="976" spans="1:28" s="227" customFormat="1" ht="27">
      <c r="A976" s="301" t="s">
        <v>768</v>
      </c>
      <c r="B976" s="293" t="s">
        <v>1120</v>
      </c>
      <c r="C976" s="294" t="s">
        <v>1024</v>
      </c>
      <c r="D976" s="295" t="s">
        <v>1024</v>
      </c>
      <c r="E976" s="293" t="s">
        <v>870</v>
      </c>
      <c r="F976" s="293" t="s">
        <v>768</v>
      </c>
      <c r="G976" s="293" t="s">
        <v>13217</v>
      </c>
      <c r="H976" s="296" t="s">
        <v>16714</v>
      </c>
      <c r="I976" s="297" t="s">
        <v>1771</v>
      </c>
      <c r="J976" s="297" t="s">
        <v>9093</v>
      </c>
      <c r="K976" s="298" t="s">
        <v>16715</v>
      </c>
      <c r="L976" s="298" t="s">
        <v>16716</v>
      </c>
      <c r="M976" s="298" t="s">
        <v>16562</v>
      </c>
      <c r="N976" s="298" t="s">
        <v>16706</v>
      </c>
      <c r="O976" s="298" t="s">
        <v>16717</v>
      </c>
      <c r="P976" s="299" t="s">
        <v>15857</v>
      </c>
      <c r="Q976" s="300" t="s">
        <v>16718</v>
      </c>
      <c r="R976" s="182" t="str">
        <f ca="1">IF(ISERROR($V976),"",OFFSET('Smelter Look-up'!$C$4,$V976-4,0)&amp;"")</f>
        <v>Minsur</v>
      </c>
      <c r="S976" s="181" t="str">
        <f t="shared" ca="1" si="137"/>
        <v>PE</v>
      </c>
      <c r="T976" s="181" t="str">
        <f ca="1">IF(B976="","",IF(ISERROR(MATCH($J976,SorP!$B$1:$B$6226,0)),"",INDIRECT("'SorP'!$A$"&amp;MATCH($S976&amp;$J976,SorP!C:C,0))))</f>
        <v>PE-ICA</v>
      </c>
      <c r="U976" s="201"/>
      <c r="V976" s="226">
        <f>IF(C976="",NA(),IF(OR(C976="Smelter not listed",C976="Smelter not yet identified"),MATCH($B976&amp;$D976,'Smelter Look-up'!$J:$J,0),MATCH($B976&amp;$C976,'Smelter Look-up'!$J:$J,0)))</f>
        <v>487</v>
      </c>
      <c r="X976" s="227">
        <f t="shared" si="138"/>
        <v>0</v>
      </c>
      <c r="AB976" s="228" t="str">
        <f t="shared" si="139"/>
        <v>TinMinsur</v>
      </c>
    </row>
    <row r="977" spans="1:28" s="227" customFormat="1" ht="67.5">
      <c r="A977" s="301" t="s">
        <v>769</v>
      </c>
      <c r="B977" s="293" t="s">
        <v>1120</v>
      </c>
      <c r="C977" s="294" t="s">
        <v>1153</v>
      </c>
      <c r="D977" s="295" t="s">
        <v>1153</v>
      </c>
      <c r="E977" s="293" t="s">
        <v>1098</v>
      </c>
      <c r="F977" s="293" t="s">
        <v>769</v>
      </c>
      <c r="G977" s="293" t="s">
        <v>15865</v>
      </c>
      <c r="H977" s="296" t="s">
        <v>15855</v>
      </c>
      <c r="I977" s="297" t="s">
        <v>15828</v>
      </c>
      <c r="J977" s="297" t="s">
        <v>1544</v>
      </c>
      <c r="K977" s="298" t="s">
        <v>15855</v>
      </c>
      <c r="L977" s="298" t="s">
        <v>15855</v>
      </c>
      <c r="M977" s="298" t="s">
        <v>15855</v>
      </c>
      <c r="N977" s="298" t="s">
        <v>15855</v>
      </c>
      <c r="O977" s="298" t="s">
        <v>15855</v>
      </c>
      <c r="P977" s="299" t="s">
        <v>15857</v>
      </c>
      <c r="Q977" s="300" t="s">
        <v>15855</v>
      </c>
      <c r="R977" s="182" t="str">
        <f ca="1">IF(ISERROR($V977),"",OFFSET('Smelter Look-up'!$C$4,$V977-4,0)&amp;"")</f>
        <v>Mitsubishi Materials Corporation</v>
      </c>
      <c r="S977" s="181" t="str">
        <f t="shared" ca="1" si="137"/>
        <v>JP</v>
      </c>
      <c r="T977" s="181" t="str">
        <f ca="1">IF(B977="","",IF(ISERROR(MATCH($J977,SorP!$B$1:$B$6226,0)),"",INDIRECT("'SorP'!$A$"&amp;MATCH($S977&amp;$J977,SorP!C:C,0))))</f>
        <v>JP-28</v>
      </c>
      <c r="U977" s="201"/>
      <c r="V977" s="226">
        <f>IF(C977="",NA(),IF(OR(C977="Smelter not listed",C977="Smelter not yet identified"),MATCH($B977&amp;$D977,'Smelter Look-up'!$J:$J,0),MATCH($B977&amp;$C977,'Smelter Look-up'!$J:$J,0)))</f>
        <v>488</v>
      </c>
      <c r="X977" s="227">
        <f t="shared" si="138"/>
        <v>0</v>
      </c>
      <c r="AB977" s="228" t="str">
        <f t="shared" si="139"/>
        <v>TinMitsubishi Materials Corporation</v>
      </c>
    </row>
    <row r="978" spans="1:28" s="227" customFormat="1" ht="67.5">
      <c r="A978" s="301" t="s">
        <v>769</v>
      </c>
      <c r="B978" s="293" t="s">
        <v>1120</v>
      </c>
      <c r="C978" s="294" t="s">
        <v>1153</v>
      </c>
      <c r="D978" s="295" t="s">
        <v>1153</v>
      </c>
      <c r="E978" s="293" t="s">
        <v>1098</v>
      </c>
      <c r="F978" s="293" t="s">
        <v>769</v>
      </c>
      <c r="G978" s="293" t="s">
        <v>13217</v>
      </c>
      <c r="H978" s="296" t="s">
        <v>15855</v>
      </c>
      <c r="I978" s="297" t="s">
        <v>15828</v>
      </c>
      <c r="J978" s="297" t="s">
        <v>1544</v>
      </c>
      <c r="K978" s="298" t="s">
        <v>15855</v>
      </c>
      <c r="L978" s="298" t="s">
        <v>15855</v>
      </c>
      <c r="M978" s="298" t="s">
        <v>15855</v>
      </c>
      <c r="N978" s="298" t="s">
        <v>15855</v>
      </c>
      <c r="O978" s="298" t="s">
        <v>15855</v>
      </c>
      <c r="P978" s="299" t="s">
        <v>15857</v>
      </c>
      <c r="Q978" s="300" t="s">
        <v>15855</v>
      </c>
      <c r="R978" s="182" t="str">
        <f ca="1">IF(ISERROR($V978),"",OFFSET('Smelter Look-up'!$C$4,$V978-4,0)&amp;"")</f>
        <v>Mitsubishi Materials Corporation</v>
      </c>
      <c r="S978" s="181" t="str">
        <f t="shared" ca="1" si="137"/>
        <v>JP</v>
      </c>
      <c r="T978" s="181" t="str">
        <f ca="1">IF(B978="","",IF(ISERROR(MATCH($J978,SorP!$B$1:$B$6226,0)),"",INDIRECT("'SorP'!$A$"&amp;MATCH($S978&amp;$J978,SorP!C:C,0))))</f>
        <v>JP-28</v>
      </c>
      <c r="U978" s="201"/>
      <c r="V978" s="226">
        <f>IF(C978="",NA(),IF(OR(C978="Smelter not listed",C978="Smelter not yet identified"),MATCH($B978&amp;$D978,'Smelter Look-up'!$J:$J,0),MATCH($B978&amp;$C978,'Smelter Look-up'!$J:$J,0)))</f>
        <v>488</v>
      </c>
      <c r="X978" s="227">
        <f t="shared" si="138"/>
        <v>0</v>
      </c>
      <c r="AB978" s="228" t="str">
        <f t="shared" si="139"/>
        <v>TinMitsubishi Materials Corporation</v>
      </c>
    </row>
    <row r="979" spans="1:28" s="227" customFormat="1" ht="67.5">
      <c r="A979" s="301" t="s">
        <v>769</v>
      </c>
      <c r="B979" s="293" t="s">
        <v>1120</v>
      </c>
      <c r="C979" s="294" t="s">
        <v>1153</v>
      </c>
      <c r="D979" s="295" t="s">
        <v>1153</v>
      </c>
      <c r="E979" s="293" t="s">
        <v>1098</v>
      </c>
      <c r="F979" s="293" t="s">
        <v>769</v>
      </c>
      <c r="G979" s="293" t="s">
        <v>13217</v>
      </c>
      <c r="H979" s="296" t="s">
        <v>15855</v>
      </c>
      <c r="I979" s="297" t="s">
        <v>15828</v>
      </c>
      <c r="J979" s="297" t="s">
        <v>1544</v>
      </c>
      <c r="K979" s="298" t="s">
        <v>15855</v>
      </c>
      <c r="L979" s="298" t="s">
        <v>15855</v>
      </c>
      <c r="M979" s="298" t="s">
        <v>15855</v>
      </c>
      <c r="N979" s="298" t="s">
        <v>15855</v>
      </c>
      <c r="O979" s="298" t="s">
        <v>15855</v>
      </c>
      <c r="P979" s="299" t="s">
        <v>15875</v>
      </c>
      <c r="Q979" s="300" t="s">
        <v>15855</v>
      </c>
      <c r="R979" s="182" t="str">
        <f ca="1">IF(ISERROR($V979),"",OFFSET('Smelter Look-up'!$C$4,$V979-4,0)&amp;"")</f>
        <v>Mitsubishi Materials Corporation</v>
      </c>
      <c r="S979" s="181" t="str">
        <f t="shared" ca="1" si="137"/>
        <v>JP</v>
      </c>
      <c r="T979" s="181" t="str">
        <f ca="1">IF(B979="","",IF(ISERROR(MATCH($J979,SorP!$B$1:$B$6226,0)),"",INDIRECT("'SorP'!$A$"&amp;MATCH($S979&amp;$J979,SorP!C:C,0))))</f>
        <v>JP-28</v>
      </c>
      <c r="U979" s="201"/>
      <c r="V979" s="226">
        <f>IF(C979="",NA(),IF(OR(C979="Smelter not listed",C979="Smelter not yet identified"),MATCH($B979&amp;$D979,'Smelter Look-up'!$J:$J,0),MATCH($B979&amp;$C979,'Smelter Look-up'!$J:$J,0)))</f>
        <v>488</v>
      </c>
      <c r="X979" s="227">
        <f t="shared" si="138"/>
        <v>0</v>
      </c>
      <c r="AB979" s="228" t="str">
        <f t="shared" si="139"/>
        <v>TinMitsubishi Materials Corporation</v>
      </c>
    </row>
    <row r="980" spans="1:28" s="227" customFormat="1" ht="67.5">
      <c r="A980" s="301" t="s">
        <v>769</v>
      </c>
      <c r="B980" s="293" t="s">
        <v>1120</v>
      </c>
      <c r="C980" s="294" t="s">
        <v>1153</v>
      </c>
      <c r="D980" s="295" t="s">
        <v>1153</v>
      </c>
      <c r="E980" s="293" t="s">
        <v>1098</v>
      </c>
      <c r="F980" s="293" t="s">
        <v>769</v>
      </c>
      <c r="G980" s="293" t="s">
        <v>13217</v>
      </c>
      <c r="H980" s="296" t="s">
        <v>15855</v>
      </c>
      <c r="I980" s="297" t="s">
        <v>15828</v>
      </c>
      <c r="J980" s="297" t="s">
        <v>1544</v>
      </c>
      <c r="K980" s="298" t="s">
        <v>15855</v>
      </c>
      <c r="L980" s="298" t="s">
        <v>15855</v>
      </c>
      <c r="M980" s="298" t="s">
        <v>15855</v>
      </c>
      <c r="N980" s="298" t="s">
        <v>15855</v>
      </c>
      <c r="O980" s="298" t="s">
        <v>15925</v>
      </c>
      <c r="P980" s="299" t="s">
        <v>15857</v>
      </c>
      <c r="Q980" s="300" t="s">
        <v>15855</v>
      </c>
      <c r="R980" s="182" t="str">
        <f ca="1">IF(ISERROR($V980),"",OFFSET('Smelter Look-up'!$C$4,$V980-4,0)&amp;"")</f>
        <v>Mitsubishi Materials Corporation</v>
      </c>
      <c r="S980" s="181" t="str">
        <f t="shared" ca="1" si="137"/>
        <v>JP</v>
      </c>
      <c r="T980" s="181" t="str">
        <f ca="1">IF(B980="","",IF(ISERROR(MATCH($J980,SorP!$B$1:$B$6226,0)),"",INDIRECT("'SorP'!$A$"&amp;MATCH($S980&amp;$J980,SorP!C:C,0))))</f>
        <v>JP-28</v>
      </c>
      <c r="U980" s="201"/>
      <c r="V980" s="226">
        <f>IF(C980="",NA(),IF(OR(C980="Smelter not listed",C980="Smelter not yet identified"),MATCH($B980&amp;$D980,'Smelter Look-up'!$J:$J,0),MATCH($B980&amp;$C980,'Smelter Look-up'!$J:$J,0)))</f>
        <v>488</v>
      </c>
      <c r="X980" s="227">
        <f t="shared" si="138"/>
        <v>0</v>
      </c>
      <c r="AB980" s="228" t="str">
        <f t="shared" si="139"/>
        <v>TinMitsubishi Materials Corporation</v>
      </c>
    </row>
    <row r="981" spans="1:28" s="227" customFormat="1" ht="67.5">
      <c r="A981" s="301" t="s">
        <v>769</v>
      </c>
      <c r="B981" s="293" t="s">
        <v>1120</v>
      </c>
      <c r="C981" s="294" t="s">
        <v>1153</v>
      </c>
      <c r="D981" s="295" t="s">
        <v>1153</v>
      </c>
      <c r="E981" s="293" t="s">
        <v>1098</v>
      </c>
      <c r="F981" s="293" t="s">
        <v>769</v>
      </c>
      <c r="G981" s="293" t="s">
        <v>13217</v>
      </c>
      <c r="H981" s="296" t="s">
        <v>15855</v>
      </c>
      <c r="I981" s="297" t="s">
        <v>1534</v>
      </c>
      <c r="J981" s="297" t="s">
        <v>1534</v>
      </c>
      <c r="K981" s="298" t="s">
        <v>15855</v>
      </c>
      <c r="L981" s="298" t="s">
        <v>15855</v>
      </c>
      <c r="M981" s="298" t="s">
        <v>15855</v>
      </c>
      <c r="N981" s="298" t="s">
        <v>15855</v>
      </c>
      <c r="O981" s="298" t="s">
        <v>15855</v>
      </c>
      <c r="P981" s="299" t="s">
        <v>15857</v>
      </c>
      <c r="Q981" s="300" t="s">
        <v>15855</v>
      </c>
      <c r="R981" s="182" t="str">
        <f ca="1">IF(ISERROR($V981),"",OFFSET('Smelter Look-up'!$C$4,$V981-4,0)&amp;"")</f>
        <v>Mitsubishi Materials Corporation</v>
      </c>
      <c r="S981" s="181" t="str">
        <f t="shared" ca="1" si="137"/>
        <v>JP</v>
      </c>
      <c r="T981" s="181" t="str">
        <f ca="1">IF(B981="","",IF(ISERROR(MATCH($J981,SorP!$B$1:$B$6226,0)),"",INDIRECT("'SorP'!$A$"&amp;MATCH($S981&amp;$J981,SorP!C:C,0))))</f>
        <v>JP-13</v>
      </c>
      <c r="U981" s="201"/>
      <c r="V981" s="226">
        <f>IF(C981="",NA(),IF(OR(C981="Smelter not listed",C981="Smelter not yet identified"),MATCH($B981&amp;$D981,'Smelter Look-up'!$J:$J,0),MATCH($B981&amp;$C981,'Smelter Look-up'!$J:$J,0)))</f>
        <v>488</v>
      </c>
      <c r="X981" s="227">
        <f t="shared" si="138"/>
        <v>0</v>
      </c>
      <c r="AB981" s="228" t="str">
        <f t="shared" si="139"/>
        <v>TinMitsubishi Materials Corporation</v>
      </c>
    </row>
    <row r="982" spans="1:28" s="227" customFormat="1" ht="67.5">
      <c r="A982" s="301" t="s">
        <v>769</v>
      </c>
      <c r="B982" s="293" t="s">
        <v>1120</v>
      </c>
      <c r="C982" s="294" t="s">
        <v>1153</v>
      </c>
      <c r="D982" s="295" t="s">
        <v>1153</v>
      </c>
      <c r="E982" s="293" t="s">
        <v>1098</v>
      </c>
      <c r="F982" s="293" t="s">
        <v>769</v>
      </c>
      <c r="G982" s="293" t="s">
        <v>13217</v>
      </c>
      <c r="H982" s="296" t="s">
        <v>15855</v>
      </c>
      <c r="I982" s="297" t="s">
        <v>1534</v>
      </c>
      <c r="J982" s="297" t="s">
        <v>1534</v>
      </c>
      <c r="K982" s="298" t="s">
        <v>16154</v>
      </c>
      <c r="L982" s="298" t="s">
        <v>16155</v>
      </c>
      <c r="M982" s="298" t="s">
        <v>16719</v>
      </c>
      <c r="N982" s="298" t="s">
        <v>15876</v>
      </c>
      <c r="O982" s="298" t="s">
        <v>15879</v>
      </c>
      <c r="P982" s="299" t="s">
        <v>15875</v>
      </c>
      <c r="Q982" s="300" t="s">
        <v>15855</v>
      </c>
      <c r="R982" s="182" t="str">
        <f ca="1">IF(ISERROR($V982),"",OFFSET('Smelter Look-up'!$C$4,$V982-4,0)&amp;"")</f>
        <v>Mitsubishi Materials Corporation</v>
      </c>
      <c r="S982" s="181" t="str">
        <f t="shared" ca="1" si="137"/>
        <v>JP</v>
      </c>
      <c r="T982" s="181" t="str">
        <f ca="1">IF(B982="","",IF(ISERROR(MATCH($J982,SorP!$B$1:$B$6226,0)),"",INDIRECT("'SorP'!$A$"&amp;MATCH($S982&amp;$J982,SorP!C:C,0))))</f>
        <v>JP-13</v>
      </c>
      <c r="U982" s="201"/>
      <c r="V982" s="226">
        <f>IF(C982="",NA(),IF(OR(C982="Smelter not listed",C982="Smelter not yet identified"),MATCH($B982&amp;$D982,'Smelter Look-up'!$J:$J,0),MATCH($B982&amp;$C982,'Smelter Look-up'!$J:$J,0)))</f>
        <v>488</v>
      </c>
      <c r="X982" s="227">
        <f t="shared" si="138"/>
        <v>0</v>
      </c>
      <c r="AB982" s="228" t="str">
        <f t="shared" si="139"/>
        <v>TinMitsubishi Materials Corporation</v>
      </c>
    </row>
    <row r="983" spans="1:28" s="227" customFormat="1" ht="67.5">
      <c r="A983" s="301" t="s">
        <v>769</v>
      </c>
      <c r="B983" s="293" t="s">
        <v>1120</v>
      </c>
      <c r="C983" s="294" t="s">
        <v>1153</v>
      </c>
      <c r="D983" s="295" t="s">
        <v>1153</v>
      </c>
      <c r="E983" s="293" t="s">
        <v>1098</v>
      </c>
      <c r="F983" s="293" t="s">
        <v>769</v>
      </c>
      <c r="G983" s="293" t="s">
        <v>13217</v>
      </c>
      <c r="H983" s="302" t="s">
        <v>15880</v>
      </c>
      <c r="I983" s="297" t="s">
        <v>15828</v>
      </c>
      <c r="J983" s="297" t="s">
        <v>1544</v>
      </c>
      <c r="K983" s="298" t="s">
        <v>15855</v>
      </c>
      <c r="L983" s="298" t="s">
        <v>15855</v>
      </c>
      <c r="M983" s="298" t="s">
        <v>15855</v>
      </c>
      <c r="N983" s="298" t="s">
        <v>15855</v>
      </c>
      <c r="O983" s="298" t="s">
        <v>15855</v>
      </c>
      <c r="P983" s="299" t="s">
        <v>15857</v>
      </c>
      <c r="Q983" s="300" t="s">
        <v>15855</v>
      </c>
      <c r="R983" s="182" t="str">
        <f ca="1">IF(ISERROR($V983),"",OFFSET('Smelter Look-up'!$C$4,$V983-4,0)&amp;"")</f>
        <v>Mitsubishi Materials Corporation</v>
      </c>
      <c r="S983" s="181" t="str">
        <f t="shared" ca="1" si="137"/>
        <v>JP</v>
      </c>
      <c r="T983" s="181" t="str">
        <f ca="1">IF(B983="","",IF(ISERROR(MATCH($J983,SorP!$B$1:$B$6226,0)),"",INDIRECT("'SorP'!$A$"&amp;MATCH($S983&amp;$J983,SorP!C:C,0))))</f>
        <v>JP-28</v>
      </c>
      <c r="U983" s="201"/>
      <c r="V983" s="226">
        <f>IF(C983="",NA(),IF(OR(C983="Smelter not listed",C983="Smelter not yet identified"),MATCH($B983&amp;$D983,'Smelter Look-up'!$J:$J,0),MATCH($B983&amp;$C983,'Smelter Look-up'!$J:$J,0)))</f>
        <v>488</v>
      </c>
      <c r="X983" s="227">
        <f t="shared" si="138"/>
        <v>0</v>
      </c>
      <c r="AB983" s="228" t="str">
        <f t="shared" si="139"/>
        <v>TinMitsubishi Materials Corporation</v>
      </c>
    </row>
    <row r="984" spans="1:28" s="227" customFormat="1" ht="67.5">
      <c r="A984" s="301" t="s">
        <v>769</v>
      </c>
      <c r="B984" s="293" t="s">
        <v>1120</v>
      </c>
      <c r="C984" s="294" t="s">
        <v>1153</v>
      </c>
      <c r="D984" s="295" t="s">
        <v>1153</v>
      </c>
      <c r="E984" s="293" t="s">
        <v>1098</v>
      </c>
      <c r="F984" s="293" t="s">
        <v>769</v>
      </c>
      <c r="G984" s="293" t="s">
        <v>13217</v>
      </c>
      <c r="H984" s="302" t="s">
        <v>15880</v>
      </c>
      <c r="I984" s="297" t="s">
        <v>1534</v>
      </c>
      <c r="J984" s="297" t="s">
        <v>1534</v>
      </c>
      <c r="K984" s="298" t="s">
        <v>15855</v>
      </c>
      <c r="L984" s="298" t="s">
        <v>15855</v>
      </c>
      <c r="M984" s="298" t="s">
        <v>15855</v>
      </c>
      <c r="N984" s="298" t="s">
        <v>15855</v>
      </c>
      <c r="O984" s="298" t="s">
        <v>15855</v>
      </c>
      <c r="P984" s="299" t="s">
        <v>15857</v>
      </c>
      <c r="Q984" s="300" t="s">
        <v>15855</v>
      </c>
      <c r="R984" s="182" t="str">
        <f ca="1">IF(ISERROR($V984),"",OFFSET('Smelter Look-up'!$C$4,$V984-4,0)&amp;"")</f>
        <v>Mitsubishi Materials Corporation</v>
      </c>
      <c r="S984" s="181" t="str">
        <f t="shared" ca="1" si="137"/>
        <v>JP</v>
      </c>
      <c r="T984" s="181" t="str">
        <f ca="1">IF(B984="","",IF(ISERROR(MATCH($J984,SorP!$B$1:$B$6226,0)),"",INDIRECT("'SorP'!$A$"&amp;MATCH($S984&amp;$J984,SorP!C:C,0))))</f>
        <v>JP-13</v>
      </c>
      <c r="U984" s="201"/>
      <c r="V984" s="226">
        <f>IF(C984="",NA(),IF(OR(C984="Smelter not listed",C984="Smelter not yet identified"),MATCH($B984&amp;$D984,'Smelter Look-up'!$J:$J,0),MATCH($B984&amp;$C984,'Smelter Look-up'!$J:$J,0)))</f>
        <v>488</v>
      </c>
      <c r="X984" s="227">
        <f t="shared" si="138"/>
        <v>0</v>
      </c>
      <c r="AB984" s="228" t="str">
        <f t="shared" si="139"/>
        <v>TinMitsubishi Materials Corporation</v>
      </c>
    </row>
    <row r="985" spans="1:28" s="227" customFormat="1" ht="40.5">
      <c r="A985" s="301" t="s">
        <v>2327</v>
      </c>
      <c r="B985" s="293" t="s">
        <v>1120</v>
      </c>
      <c r="C985" s="294" t="s">
        <v>2293</v>
      </c>
      <c r="D985" s="295" t="s">
        <v>2293</v>
      </c>
      <c r="E985" s="293" t="s">
        <v>1105</v>
      </c>
      <c r="F985" s="293" t="s">
        <v>2327</v>
      </c>
      <c r="G985" s="293" t="s">
        <v>13217</v>
      </c>
      <c r="H985" s="296" t="s">
        <v>15855</v>
      </c>
      <c r="I985" s="297" t="s">
        <v>2330</v>
      </c>
      <c r="J985" s="297" t="s">
        <v>2331</v>
      </c>
      <c r="K985" s="298" t="s">
        <v>15855</v>
      </c>
      <c r="L985" s="298" t="s">
        <v>15855</v>
      </c>
      <c r="M985" s="298" t="s">
        <v>15855</v>
      </c>
      <c r="N985" s="298" t="s">
        <v>15855</v>
      </c>
      <c r="O985" s="298" t="s">
        <v>15855</v>
      </c>
      <c r="P985" s="299" t="s">
        <v>15857</v>
      </c>
      <c r="Q985" s="300" t="s">
        <v>15855</v>
      </c>
      <c r="R985" s="182" t="str">
        <f ca="1">IF(ISERROR($V985),"",OFFSET('Smelter Look-up'!$C$4,$V985-4,0)&amp;"")</f>
        <v>Modeltech Sdn Bhd</v>
      </c>
      <c r="S985" s="181" t="str">
        <f t="shared" ca="1" si="137"/>
        <v>MY</v>
      </c>
      <c r="T985" s="181" t="str">
        <f ca="1">IF(B985="","",IF(ISERROR(MATCH($J985,SorP!$B$1:$B$6226,0)),"",INDIRECT("'SorP'!$A$"&amp;MATCH($S985&amp;$J985,SorP!C:C,0))))</f>
        <v>MY-04</v>
      </c>
      <c r="U985" s="201"/>
      <c r="V985" s="226">
        <f>IF(C985="",NA(),IF(OR(C985="Smelter not listed",C985="Smelter not yet identified"),MATCH($B985&amp;$D985,'Smelter Look-up'!$J:$J,0),MATCH($B985&amp;$C985,'Smelter Look-up'!$J:$J,0)))</f>
        <v>489</v>
      </c>
      <c r="X985" s="227">
        <f t="shared" si="138"/>
        <v>0</v>
      </c>
      <c r="AB985" s="228" t="str">
        <f t="shared" si="139"/>
        <v>TinModeltech Sdn Bhd</v>
      </c>
    </row>
    <row r="986" spans="1:28" s="227" customFormat="1" ht="40.5">
      <c r="A986" s="301" t="s">
        <v>2327</v>
      </c>
      <c r="B986" s="293" t="s">
        <v>1120</v>
      </c>
      <c r="C986" s="294" t="s">
        <v>2293</v>
      </c>
      <c r="D986" s="295" t="s">
        <v>2293</v>
      </c>
      <c r="E986" s="293" t="s">
        <v>1105</v>
      </c>
      <c r="F986" s="293" t="s">
        <v>2327</v>
      </c>
      <c r="G986" s="293" t="s">
        <v>13217</v>
      </c>
      <c r="H986" s="296" t="s">
        <v>15855</v>
      </c>
      <c r="I986" s="297" t="s">
        <v>2330</v>
      </c>
      <c r="J986" s="297" t="s">
        <v>2331</v>
      </c>
      <c r="K986" s="298" t="s">
        <v>15855</v>
      </c>
      <c r="L986" s="298" t="s">
        <v>15855</v>
      </c>
      <c r="M986" s="298" t="s">
        <v>15855</v>
      </c>
      <c r="N986" s="298" t="s">
        <v>15855</v>
      </c>
      <c r="O986" s="298" t="s">
        <v>15858</v>
      </c>
      <c r="P986" s="299" t="s">
        <v>15857</v>
      </c>
      <c r="Q986" s="300" t="s">
        <v>15855</v>
      </c>
      <c r="R986" s="182" t="str">
        <f ca="1">IF(ISERROR($V986),"",OFFSET('Smelter Look-up'!$C$4,$V986-4,0)&amp;"")</f>
        <v>Modeltech Sdn Bhd</v>
      </c>
      <c r="S986" s="181" t="str">
        <f t="shared" ca="1" si="137"/>
        <v>MY</v>
      </c>
      <c r="T986" s="181" t="str">
        <f ca="1">IF(B986="","",IF(ISERROR(MATCH($J986,SorP!$B$1:$B$6226,0)),"",INDIRECT("'SorP'!$A$"&amp;MATCH($S986&amp;$J986,SorP!C:C,0))))</f>
        <v>MY-04</v>
      </c>
      <c r="U986" s="201"/>
      <c r="V986" s="226">
        <f>IF(C986="",NA(),IF(OR(C986="Smelter not listed",C986="Smelter not yet identified"),MATCH($B986&amp;$D986,'Smelter Look-up'!$J:$J,0),MATCH($B986&amp;$C986,'Smelter Look-up'!$J:$J,0)))</f>
        <v>489</v>
      </c>
      <c r="X986" s="227">
        <f t="shared" si="138"/>
        <v>0</v>
      </c>
      <c r="AB986" s="228" t="str">
        <f t="shared" si="139"/>
        <v>TinModeltech Sdn Bhd</v>
      </c>
    </row>
    <row r="987" spans="1:28" s="227" customFormat="1" ht="40.5">
      <c r="A987" s="301" t="s">
        <v>15855</v>
      </c>
      <c r="B987" s="293" t="s">
        <v>1120</v>
      </c>
      <c r="C987" s="294" t="s">
        <v>932</v>
      </c>
      <c r="D987" s="295" t="s">
        <v>12593</v>
      </c>
      <c r="E987" s="293" t="s">
        <v>12593</v>
      </c>
      <c r="F987" s="293" t="s">
        <v>15855</v>
      </c>
      <c r="G987" s="293" t="s">
        <v>15855</v>
      </c>
      <c r="H987" s="296" t="s">
        <v>15855</v>
      </c>
      <c r="I987" s="297" t="s">
        <v>15855</v>
      </c>
      <c r="J987" s="297" t="s">
        <v>15855</v>
      </c>
      <c r="K987" s="298" t="s">
        <v>15855</v>
      </c>
      <c r="L987" s="298" t="s">
        <v>15855</v>
      </c>
      <c r="M987" s="298" t="s">
        <v>15855</v>
      </c>
      <c r="N987" s="298" t="s">
        <v>15855</v>
      </c>
      <c r="O987" s="298" t="s">
        <v>15855</v>
      </c>
      <c r="P987" s="299" t="s">
        <v>15857</v>
      </c>
      <c r="Q987" s="300" t="s">
        <v>15855</v>
      </c>
      <c r="R987" s="182" t="str">
        <f ca="1">IF(ISERROR($V987),"",OFFSET('Smelter Look-up'!$C$4,$V987-4,0)&amp;"")</f>
        <v/>
      </c>
      <c r="S987" s="181" t="str">
        <f t="shared" ca="1" si="137"/>
        <v>Unknown</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si="138"/>
        <v>0</v>
      </c>
      <c r="AB987" s="228" t="str">
        <f t="shared" si="139"/>
        <v>TinSmelter Not Listed</v>
      </c>
    </row>
    <row r="988" spans="1:28" s="227" customFormat="1" ht="40.5">
      <c r="A988" s="301" t="s">
        <v>1774</v>
      </c>
      <c r="B988" s="293" t="s">
        <v>1120</v>
      </c>
      <c r="C988" s="294" t="s">
        <v>1775</v>
      </c>
      <c r="D988" s="295" t="s">
        <v>2137</v>
      </c>
      <c r="E988" s="293" t="s">
        <v>1090</v>
      </c>
      <c r="F988" s="293" t="s">
        <v>1774</v>
      </c>
      <c r="G988" s="293" t="s">
        <v>15864</v>
      </c>
      <c r="H988" s="296" t="s">
        <v>15855</v>
      </c>
      <c r="I988" s="297" t="s">
        <v>1759</v>
      </c>
      <c r="J988" s="297" t="s">
        <v>16629</v>
      </c>
      <c r="K988" s="298" t="s">
        <v>15855</v>
      </c>
      <c r="L988" s="298" t="s">
        <v>15855</v>
      </c>
      <c r="M988" s="298" t="s">
        <v>15855</v>
      </c>
      <c r="N988" s="298" t="s">
        <v>15855</v>
      </c>
      <c r="O988" s="298" t="s">
        <v>15855</v>
      </c>
      <c r="P988" s="299" t="s">
        <v>15857</v>
      </c>
      <c r="Q988" s="300" t="s">
        <v>15855</v>
      </c>
      <c r="R988" s="182" t="str">
        <f ca="1">IF(ISERROR($V988),"",OFFSET('Smelter Look-up'!$C$4,$V988-4,0)&amp;"")</f>
        <v>Jiangxi New Nanshan Technology Ltd.</v>
      </c>
      <c r="S988" s="181" t="str">
        <f t="shared" ref="S988:S1018" ca="1" si="140">IF(B988="","",IF(ISERROR(MATCH($E988,CL,0)),"Unknown",INDIRECT("'C'!$A$"&amp;MATCH($E988,CL,0)+1)))</f>
        <v>CN</v>
      </c>
      <c r="T988" s="181" t="str">
        <f ca="1">IF(B988="","",IF(ISERROR(MATCH($J988,SorP!$B$1:$B$6226,0)),"",INDIRECT("'SorP'!$A$"&amp;MATCH($S988&amp;$J988,SorP!C:C,0))))</f>
        <v/>
      </c>
      <c r="U988" s="201"/>
      <c r="V988" s="226">
        <f>IF(C988="",NA(),IF(OR(C988="Smelter not listed",C988="Smelter not yet identified"),MATCH($B988&amp;$D988,'Smelter Look-up'!$J:$J,0),MATCH($B988&amp;$C988,'Smelter Look-up'!$J:$J,0)))</f>
        <v>492</v>
      </c>
      <c r="X988" s="227">
        <f t="shared" ref="X988:X1018" si="141">IF(AND(C988="Smelter not listed",OR(LEN(D988)=0,LEN(E988)=0)),1,0)</f>
        <v>0</v>
      </c>
      <c r="AB988" s="228" t="str">
        <f t="shared" ref="AB988:AB1018" si="142">B988&amp;C988</f>
        <v>TinNanshan Tin Co. Ltd.</v>
      </c>
    </row>
    <row r="989" spans="1:28" s="227" customFormat="1" ht="121.5">
      <c r="A989" s="301" t="s">
        <v>1795</v>
      </c>
      <c r="B989" s="293" t="s">
        <v>1120</v>
      </c>
      <c r="C989" s="294" t="s">
        <v>1794</v>
      </c>
      <c r="D989" s="295" t="s">
        <v>1794</v>
      </c>
      <c r="E989" s="293" t="s">
        <v>882</v>
      </c>
      <c r="F989" s="293" t="s">
        <v>1795</v>
      </c>
      <c r="G989" s="293" t="s">
        <v>13217</v>
      </c>
      <c r="H989" s="296" t="s">
        <v>15855</v>
      </c>
      <c r="I989" s="297" t="s">
        <v>1796</v>
      </c>
      <c r="J989" s="297" t="s">
        <v>12106</v>
      </c>
      <c r="K989" s="298" t="s">
        <v>15855</v>
      </c>
      <c r="L989" s="298" t="s">
        <v>15855</v>
      </c>
      <c r="M989" s="298" t="s">
        <v>15855</v>
      </c>
      <c r="N989" s="298" t="s">
        <v>15855</v>
      </c>
      <c r="O989" s="298" t="s">
        <v>15858</v>
      </c>
      <c r="P989" s="299" t="s">
        <v>15857</v>
      </c>
      <c r="Q989" s="300" t="s">
        <v>15855</v>
      </c>
      <c r="R989" s="182" t="str">
        <f ca="1">IF(ISERROR($V989),"",OFFSET('Smelter Look-up'!$C$4,$V989-4,0)&amp;"")</f>
        <v>Nghe Tinh Non-Ferrous Metals Joint Stock Company</v>
      </c>
      <c r="S989" s="181" t="str">
        <f t="shared" ca="1" si="140"/>
        <v>VN</v>
      </c>
      <c r="T989" s="181" t="str">
        <f ca="1">IF(B989="","",IF(ISERROR(MATCH($J989,SorP!$B$1:$B$6226,0)),"",INDIRECT("'SorP'!$A$"&amp;MATCH($S989&amp;$J989,SorP!C:C,0))))</f>
        <v>VN-22</v>
      </c>
      <c r="U989" s="201"/>
      <c r="V989" s="226">
        <f>IF(C989="",NA(),IF(OR(C989="Smelter not listed",C989="Smelter not yet identified"),MATCH($B989&amp;$D989,'Smelter Look-up'!$J:$J,0),MATCH($B989&amp;$C989,'Smelter Look-up'!$J:$J,0)))</f>
        <v>493</v>
      </c>
      <c r="X989" s="227">
        <f t="shared" si="141"/>
        <v>0</v>
      </c>
      <c r="AB989" s="228" t="str">
        <f t="shared" si="142"/>
        <v>TinNghe Tinh Non-Ferrous Metals Joint Stock Company</v>
      </c>
    </row>
    <row r="990" spans="1:28" s="227" customFormat="1" ht="67.5">
      <c r="A990" s="301" t="s">
        <v>751</v>
      </c>
      <c r="B990" s="293" t="s">
        <v>1120</v>
      </c>
      <c r="C990" s="294" t="s">
        <v>13157</v>
      </c>
      <c r="D990" s="295" t="s">
        <v>1020</v>
      </c>
      <c r="E990" s="293" t="s">
        <v>1090</v>
      </c>
      <c r="F990" s="293" t="s">
        <v>751</v>
      </c>
      <c r="G990" s="293" t="s">
        <v>13217</v>
      </c>
      <c r="H990" s="296" t="s">
        <v>15855</v>
      </c>
      <c r="I990" s="297" t="s">
        <v>1718</v>
      </c>
      <c r="J990" s="297" t="s">
        <v>13582</v>
      </c>
      <c r="K990" s="298" t="s">
        <v>15855</v>
      </c>
      <c r="L990" s="298" t="s">
        <v>15855</v>
      </c>
      <c r="M990" s="298" t="s">
        <v>15855</v>
      </c>
      <c r="N990" s="298" t="s">
        <v>15855</v>
      </c>
      <c r="O990" s="298" t="s">
        <v>15855</v>
      </c>
      <c r="P990" s="299" t="s">
        <v>15857</v>
      </c>
      <c r="Q990" s="300" t="s">
        <v>15855</v>
      </c>
      <c r="R990" s="182" t="str">
        <f ca="1">IF(ISERROR($V990),"",OFFSET('Smelter Look-up'!$C$4,$V990-4,0)&amp;"")</f>
        <v/>
      </c>
      <c r="S990" s="181" t="str">
        <f t="shared" ca="1" si="140"/>
        <v>CN</v>
      </c>
      <c r="T990" s="181" t="str">
        <f ca="1">IF(B990="","",IF(ISERROR(MATCH($J990,SorP!$B$1:$B$6226,0)),"",INDIRECT("'SorP'!$A$"&amp;MATCH($S990&amp;$J990,SorP!C:C,0))))</f>
        <v>CN-NX</v>
      </c>
      <c r="U990" s="201"/>
      <c r="V990" s="226" t="e">
        <f>IF(C990="",NA(),IF(OR(C990="Smelter not listed",C990="Smelter not yet identified"),MATCH($B990&amp;$D990,'Smelter Look-up'!$J:$J,0),MATCH($B990&amp;$C990,'Smelter Look-up'!$J:$J,0)))</f>
        <v>#N/A</v>
      </c>
      <c r="X990" s="227">
        <f t="shared" si="141"/>
        <v>0</v>
      </c>
      <c r="AB990" s="228" t="str">
        <f t="shared" si="142"/>
        <v>TinNingxia Non-Ferrous Metal Smeltery</v>
      </c>
    </row>
    <row r="991" spans="1:28" s="227" customFormat="1" ht="81">
      <c r="A991" s="301" t="s">
        <v>751</v>
      </c>
      <c r="B991" s="293" t="s">
        <v>1120</v>
      </c>
      <c r="C991" s="294" t="s">
        <v>1020</v>
      </c>
      <c r="D991" s="295" t="s">
        <v>1020</v>
      </c>
      <c r="E991" s="293" t="s">
        <v>1090</v>
      </c>
      <c r="F991" s="293" t="s">
        <v>751</v>
      </c>
      <c r="G991" s="293" t="s">
        <v>13217</v>
      </c>
      <c r="H991" s="296" t="s">
        <v>15855</v>
      </c>
      <c r="I991" s="297" t="s">
        <v>1718</v>
      </c>
      <c r="J991" s="297" t="s">
        <v>13582</v>
      </c>
      <c r="K991" s="298" t="s">
        <v>15855</v>
      </c>
      <c r="L991" s="298" t="s">
        <v>15855</v>
      </c>
      <c r="M991" s="298" t="s">
        <v>15855</v>
      </c>
      <c r="N991" s="298" t="s">
        <v>15855</v>
      </c>
      <c r="O991" s="298" t="s">
        <v>15855</v>
      </c>
      <c r="P991" s="299" t="s">
        <v>15857</v>
      </c>
      <c r="Q991" s="300" t="s">
        <v>15855</v>
      </c>
      <c r="R991" s="182" t="str">
        <f ca="1">IF(ISERROR($V991),"",OFFSET('Smelter Look-up'!$C$4,$V991-4,0)&amp;"")</f>
        <v/>
      </c>
      <c r="S991" s="181" t="str">
        <f t="shared" ca="1" si="140"/>
        <v>CN</v>
      </c>
      <c r="T991" s="181" t="str">
        <f ca="1">IF(B991="","",IF(ISERROR(MATCH($J991,SorP!$B$1:$B$6226,0)),"",INDIRECT("'SorP'!$A$"&amp;MATCH($S991&amp;$J991,SorP!C:C,0))))</f>
        <v>CN-NX</v>
      </c>
      <c r="U991" s="201"/>
      <c r="V991" s="226" t="e">
        <f>IF(C991="",NA(),IF(OR(C991="Smelter not listed",C991="Smelter not yet identified"),MATCH($B991&amp;$D991,'Smelter Look-up'!$J:$J,0),MATCH($B991&amp;$C991,'Smelter Look-up'!$J:$J,0)))</f>
        <v>#N/A</v>
      </c>
      <c r="X991" s="227">
        <f t="shared" si="141"/>
        <v>0</v>
      </c>
      <c r="AB991" s="228" t="str">
        <f t="shared" si="142"/>
        <v>TinNingxia Orient Tantalum Industry Co., Ltd.</v>
      </c>
    </row>
    <row r="992" spans="1:28" s="227" customFormat="1" ht="67.5">
      <c r="A992" s="301" t="s">
        <v>15074</v>
      </c>
      <c r="B992" s="293" t="s">
        <v>1120</v>
      </c>
      <c r="C992" s="294" t="s">
        <v>15073</v>
      </c>
      <c r="D992" s="295" t="s">
        <v>15073</v>
      </c>
      <c r="E992" s="293" t="s">
        <v>873</v>
      </c>
      <c r="F992" s="293" t="s">
        <v>15074</v>
      </c>
      <c r="G992" s="293" t="s">
        <v>13217</v>
      </c>
      <c r="H992" s="296" t="s">
        <v>15855</v>
      </c>
      <c r="I992" s="297" t="s">
        <v>1574</v>
      </c>
      <c r="J992" s="297" t="s">
        <v>9983</v>
      </c>
      <c r="K992" s="298" t="s">
        <v>15855</v>
      </c>
      <c r="L992" s="298" t="s">
        <v>15855</v>
      </c>
      <c r="M992" s="298" t="s">
        <v>15855</v>
      </c>
      <c r="N992" s="298" t="s">
        <v>15855</v>
      </c>
      <c r="O992" s="298" t="s">
        <v>15855</v>
      </c>
      <c r="P992" s="299" t="s">
        <v>15857</v>
      </c>
      <c r="Q992" s="300" t="s">
        <v>15855</v>
      </c>
      <c r="R992" s="182" t="str">
        <f ca="1">IF(ISERROR($V992),"",OFFSET('Smelter Look-up'!$C$4,$V992-4,0)&amp;"")</f>
        <v>Novosibirsk Tin Combine</v>
      </c>
      <c r="S992" s="181" t="str">
        <f t="shared" ca="1" si="140"/>
        <v>RU</v>
      </c>
      <c r="T992" s="181" t="str">
        <f ca="1">IF(B992="","",IF(ISERROR(MATCH($J992,SorP!$B$1:$B$6226,0)),"",INDIRECT("'SorP'!$A$"&amp;MATCH($S992&amp;$J992,SorP!C:C,0))))</f>
        <v>RU-NVS</v>
      </c>
      <c r="U992" s="201"/>
      <c r="V992" s="226">
        <f>IF(C992="",NA(),IF(OR(C992="Smelter not listed",C992="Smelter not yet identified"),MATCH($B992&amp;$D992,'Smelter Look-up'!$J:$J,0),MATCH($B992&amp;$C992,'Smelter Look-up'!$J:$J,0)))</f>
        <v>494</v>
      </c>
      <c r="X992" s="227">
        <f t="shared" si="141"/>
        <v>0</v>
      </c>
      <c r="AB992" s="228" t="str">
        <f t="shared" si="142"/>
        <v>TinNovosibirsk Processing Plant Ltd.</v>
      </c>
    </row>
    <row r="993" spans="1:28" s="227" customFormat="1" ht="40.5">
      <c r="A993" s="301" t="s">
        <v>15074</v>
      </c>
      <c r="B993" s="293" t="s">
        <v>1120</v>
      </c>
      <c r="C993" s="294" t="s">
        <v>15505</v>
      </c>
      <c r="D993" s="295" t="s">
        <v>15505</v>
      </c>
      <c r="E993" s="293" t="s">
        <v>873</v>
      </c>
      <c r="F993" s="293" t="s">
        <v>15074</v>
      </c>
      <c r="G993" s="293" t="s">
        <v>13217</v>
      </c>
      <c r="H993" s="296" t="s">
        <v>15855</v>
      </c>
      <c r="I993" s="297" t="s">
        <v>1574</v>
      </c>
      <c r="J993" s="297" t="s">
        <v>9983</v>
      </c>
      <c r="K993" s="298" t="s">
        <v>15855</v>
      </c>
      <c r="L993" s="298" t="s">
        <v>15855</v>
      </c>
      <c r="M993" s="298" t="s">
        <v>15855</v>
      </c>
      <c r="N993" s="298" t="s">
        <v>15855</v>
      </c>
      <c r="O993" s="298" t="s">
        <v>15858</v>
      </c>
      <c r="P993" s="299" t="s">
        <v>15857</v>
      </c>
      <c r="Q993" s="300" t="s">
        <v>15855</v>
      </c>
      <c r="R993" s="182" t="str">
        <f ca="1">IF(ISERROR($V993),"",OFFSET('Smelter Look-up'!$C$4,$V993-4,0)&amp;"")</f>
        <v>Novosibirsk Tin Combine</v>
      </c>
      <c r="S993" s="181" t="str">
        <f t="shared" ca="1" si="140"/>
        <v>RU</v>
      </c>
      <c r="T993" s="181" t="str">
        <f ca="1">IF(B993="","",IF(ISERROR(MATCH($J993,SorP!$B$1:$B$6226,0)),"",INDIRECT("'SorP'!$A$"&amp;MATCH($S993&amp;$J993,SorP!C:C,0))))</f>
        <v>RU-NVS</v>
      </c>
      <c r="U993" s="201"/>
      <c r="V993" s="226">
        <f>IF(C993="",NA(),IF(OR(C993="Smelter not listed",C993="Smelter not yet identified"),MATCH($B993&amp;$D993,'Smelter Look-up'!$J:$J,0),MATCH($B993&amp;$C993,'Smelter Look-up'!$J:$J,0)))</f>
        <v>495</v>
      </c>
      <c r="X993" s="227">
        <f t="shared" si="141"/>
        <v>0</v>
      </c>
      <c r="AB993" s="228" t="str">
        <f t="shared" si="142"/>
        <v>TinNovosibirsk Tin Combine</v>
      </c>
    </row>
    <row r="994" spans="1:28" s="227" customFormat="1" ht="81">
      <c r="A994" s="301" t="s">
        <v>771</v>
      </c>
      <c r="B994" s="293" t="s">
        <v>1120</v>
      </c>
      <c r="C994" s="294" t="s">
        <v>770</v>
      </c>
      <c r="D994" s="295" t="s">
        <v>770</v>
      </c>
      <c r="E994" s="293" t="s">
        <v>878</v>
      </c>
      <c r="F994" s="293" t="s">
        <v>771</v>
      </c>
      <c r="G994" s="293" t="s">
        <v>13217</v>
      </c>
      <c r="H994" s="296" t="s">
        <v>15855</v>
      </c>
      <c r="I994" s="297" t="s">
        <v>2323</v>
      </c>
      <c r="J994" s="297" t="s">
        <v>11003</v>
      </c>
      <c r="K994" s="298" t="s">
        <v>15855</v>
      </c>
      <c r="L994" s="298" t="s">
        <v>15855</v>
      </c>
      <c r="M994" s="298" t="s">
        <v>15855</v>
      </c>
      <c r="N994" s="298" t="s">
        <v>15855</v>
      </c>
      <c r="O994" s="298" t="s">
        <v>15855</v>
      </c>
      <c r="P994" s="299" t="s">
        <v>15857</v>
      </c>
      <c r="Q994" s="300" t="s">
        <v>15855</v>
      </c>
      <c r="R994" s="182" t="str">
        <f ca="1">IF(ISERROR($V994),"",OFFSET('Smelter Look-up'!$C$4,$V994-4,0)&amp;"")</f>
        <v>O.M. Manufacturing (Thailand) Co., Ltd.</v>
      </c>
      <c r="S994" s="181" t="str">
        <f t="shared" ca="1" si="140"/>
        <v>TH</v>
      </c>
      <c r="T994" s="181" t="str">
        <f ca="1">IF(B994="","",IF(ISERROR(MATCH($J994,SorP!$B$1:$B$6226,0)),"",INDIRECT("'SorP'!$A$"&amp;MATCH($S994&amp;$J994,SorP!C:C,0))))</f>
        <v>TH-20</v>
      </c>
      <c r="U994" s="201"/>
      <c r="V994" s="226">
        <f>IF(C994="",NA(),IF(OR(C994="Smelter not listed",C994="Smelter not yet identified"),MATCH($B994&amp;$D994,'Smelter Look-up'!$J:$J,0),MATCH($B994&amp;$C994,'Smelter Look-up'!$J:$J,0)))</f>
        <v>496</v>
      </c>
      <c r="X994" s="227">
        <f t="shared" si="141"/>
        <v>0</v>
      </c>
      <c r="AB994" s="228" t="str">
        <f t="shared" si="142"/>
        <v>TinO.M. Manufacturing (Thailand) Co., Ltd.</v>
      </c>
    </row>
    <row r="995" spans="1:28" s="227" customFormat="1" ht="81">
      <c r="A995" s="301" t="s">
        <v>771</v>
      </c>
      <c r="B995" s="293" t="s">
        <v>1120</v>
      </c>
      <c r="C995" s="294" t="s">
        <v>770</v>
      </c>
      <c r="D995" s="295" t="s">
        <v>770</v>
      </c>
      <c r="E995" s="293" t="s">
        <v>878</v>
      </c>
      <c r="F995" s="293" t="s">
        <v>771</v>
      </c>
      <c r="G995" s="293" t="s">
        <v>13217</v>
      </c>
      <c r="H995" s="296" t="s">
        <v>15855</v>
      </c>
      <c r="I995" s="297" t="s">
        <v>2323</v>
      </c>
      <c r="J995" s="297" t="s">
        <v>11003</v>
      </c>
      <c r="K995" s="298" t="s">
        <v>15855</v>
      </c>
      <c r="L995" s="298" t="s">
        <v>15855</v>
      </c>
      <c r="M995" s="298" t="s">
        <v>15855</v>
      </c>
      <c r="N995" s="298" t="s">
        <v>15855</v>
      </c>
      <c r="O995" s="298" t="s">
        <v>15925</v>
      </c>
      <c r="P995" s="299" t="s">
        <v>15857</v>
      </c>
      <c r="Q995" s="300" t="s">
        <v>15855</v>
      </c>
      <c r="R995" s="182" t="str">
        <f ca="1">IF(ISERROR($V995),"",OFFSET('Smelter Look-up'!$C$4,$V995-4,0)&amp;"")</f>
        <v>O.M. Manufacturing (Thailand) Co., Ltd.</v>
      </c>
      <c r="S995" s="181" t="str">
        <f t="shared" ca="1" si="140"/>
        <v>TH</v>
      </c>
      <c r="T995" s="181" t="str">
        <f ca="1">IF(B995="","",IF(ISERROR(MATCH($J995,SorP!$B$1:$B$6226,0)),"",INDIRECT("'SorP'!$A$"&amp;MATCH($S995&amp;$J995,SorP!C:C,0))))</f>
        <v>TH-20</v>
      </c>
      <c r="U995" s="201"/>
      <c r="V995" s="226">
        <f>IF(C995="",NA(),IF(OR(C995="Smelter not listed",C995="Smelter not yet identified"),MATCH($B995&amp;$D995,'Smelter Look-up'!$J:$J,0),MATCH($B995&amp;$C995,'Smelter Look-up'!$J:$J,0)))</f>
        <v>496</v>
      </c>
      <c r="X995" s="227">
        <f t="shared" si="141"/>
        <v>0</v>
      </c>
      <c r="AB995" s="228" t="str">
        <f t="shared" si="142"/>
        <v>TinO.M. Manufacturing (Thailand) Co., Ltd.</v>
      </c>
    </row>
    <row r="996" spans="1:28" s="227" customFormat="1" ht="81">
      <c r="A996" s="301" t="s">
        <v>771</v>
      </c>
      <c r="B996" s="293" t="s">
        <v>1120</v>
      </c>
      <c r="C996" s="294" t="s">
        <v>770</v>
      </c>
      <c r="D996" s="295" t="s">
        <v>770</v>
      </c>
      <c r="E996" s="293" t="s">
        <v>878</v>
      </c>
      <c r="F996" s="293" t="s">
        <v>771</v>
      </c>
      <c r="G996" s="293" t="s">
        <v>13217</v>
      </c>
      <c r="H996" s="296" t="s">
        <v>15855</v>
      </c>
      <c r="I996" s="297" t="s">
        <v>2323</v>
      </c>
      <c r="J996" s="297" t="s">
        <v>11003</v>
      </c>
      <c r="K996" s="298" t="s">
        <v>16720</v>
      </c>
      <c r="L996" s="298" t="s">
        <v>16721</v>
      </c>
      <c r="M996" s="298" t="s">
        <v>15869</v>
      </c>
      <c r="N996" s="298" t="s">
        <v>15876</v>
      </c>
      <c r="O996" s="298" t="s">
        <v>15879</v>
      </c>
      <c r="P996" s="299" t="s">
        <v>15875</v>
      </c>
      <c r="Q996" s="300" t="s">
        <v>15855</v>
      </c>
      <c r="R996" s="182" t="str">
        <f ca="1">IF(ISERROR($V996),"",OFFSET('Smelter Look-up'!$C$4,$V996-4,0)&amp;"")</f>
        <v>O.M. Manufacturing (Thailand) Co., Ltd.</v>
      </c>
      <c r="S996" s="181" t="str">
        <f t="shared" ca="1" si="140"/>
        <v>TH</v>
      </c>
      <c r="T996" s="181" t="str">
        <f ca="1">IF(B996="","",IF(ISERROR(MATCH($J996,SorP!$B$1:$B$6226,0)),"",INDIRECT("'SorP'!$A$"&amp;MATCH($S996&amp;$J996,SorP!C:C,0))))</f>
        <v>TH-20</v>
      </c>
      <c r="U996" s="201"/>
      <c r="V996" s="226">
        <f>IF(C996="",NA(),IF(OR(C996="Smelter not listed",C996="Smelter not yet identified"),MATCH($B996&amp;$D996,'Smelter Look-up'!$J:$J,0),MATCH($B996&amp;$C996,'Smelter Look-up'!$J:$J,0)))</f>
        <v>496</v>
      </c>
      <c r="X996" s="227">
        <f t="shared" si="141"/>
        <v>0</v>
      </c>
      <c r="AB996" s="228" t="str">
        <f t="shared" si="142"/>
        <v>TinO.M. Manufacturing (Thailand) Co., Ltd.</v>
      </c>
    </row>
    <row r="997" spans="1:28" s="227" customFormat="1" ht="81">
      <c r="A997" s="301" t="s">
        <v>771</v>
      </c>
      <c r="B997" s="293" t="s">
        <v>1120</v>
      </c>
      <c r="C997" s="294" t="s">
        <v>770</v>
      </c>
      <c r="D997" s="295" t="s">
        <v>770</v>
      </c>
      <c r="E997" s="293" t="s">
        <v>878</v>
      </c>
      <c r="F997" s="293" t="s">
        <v>771</v>
      </c>
      <c r="G997" s="293" t="s">
        <v>13217</v>
      </c>
      <c r="H997" s="302" t="s">
        <v>15880</v>
      </c>
      <c r="I997" s="297" t="s">
        <v>2323</v>
      </c>
      <c r="J997" s="297" t="s">
        <v>11003</v>
      </c>
      <c r="K997" s="298" t="s">
        <v>15855</v>
      </c>
      <c r="L997" s="298" t="s">
        <v>15855</v>
      </c>
      <c r="M997" s="298" t="s">
        <v>15855</v>
      </c>
      <c r="N997" s="298" t="s">
        <v>15855</v>
      </c>
      <c r="O997" s="298" t="s">
        <v>15855</v>
      </c>
      <c r="P997" s="299" t="s">
        <v>15857</v>
      </c>
      <c r="Q997" s="300" t="s">
        <v>15855</v>
      </c>
      <c r="R997" s="182" t="str">
        <f ca="1">IF(ISERROR($V997),"",OFFSET('Smelter Look-up'!$C$4,$V997-4,0)&amp;"")</f>
        <v>O.M. Manufacturing (Thailand) Co., Ltd.</v>
      </c>
      <c r="S997" s="181" t="str">
        <f t="shared" ca="1" si="140"/>
        <v>TH</v>
      </c>
      <c r="T997" s="181" t="str">
        <f ca="1">IF(B997="","",IF(ISERROR(MATCH($J997,SorP!$B$1:$B$6226,0)),"",INDIRECT("'SorP'!$A$"&amp;MATCH($S997&amp;$J997,SorP!C:C,0))))</f>
        <v>TH-20</v>
      </c>
      <c r="U997" s="201"/>
      <c r="V997" s="226">
        <f>IF(C997="",NA(),IF(OR(C997="Smelter not listed",C997="Smelter not yet identified"),MATCH($B997&amp;$D997,'Smelter Look-up'!$J:$J,0),MATCH($B997&amp;$C997,'Smelter Look-up'!$J:$J,0)))</f>
        <v>496</v>
      </c>
      <c r="X997" s="227">
        <f t="shared" si="141"/>
        <v>0</v>
      </c>
      <c r="AB997" s="228" t="str">
        <f t="shared" si="142"/>
        <v>TinO.M. Manufacturing (Thailand) Co., Ltd.</v>
      </c>
    </row>
    <row r="998" spans="1:28" s="227" customFormat="1" ht="67.5">
      <c r="A998" s="301" t="s">
        <v>1390</v>
      </c>
      <c r="B998" s="293" t="s">
        <v>1120</v>
      </c>
      <c r="C998" s="294" t="s">
        <v>1389</v>
      </c>
      <c r="D998" s="295" t="s">
        <v>1389</v>
      </c>
      <c r="E998" s="293" t="s">
        <v>871</v>
      </c>
      <c r="F998" s="293" t="s">
        <v>1390</v>
      </c>
      <c r="G998" s="293" t="s">
        <v>13217</v>
      </c>
      <c r="H998" s="296" t="s">
        <v>15855</v>
      </c>
      <c r="I998" s="297" t="s">
        <v>12919</v>
      </c>
      <c r="J998" s="297" t="s">
        <v>9429</v>
      </c>
      <c r="K998" s="298" t="s">
        <v>15855</v>
      </c>
      <c r="L998" s="298" t="s">
        <v>15855</v>
      </c>
      <c r="M998" s="298" t="s">
        <v>15855</v>
      </c>
      <c r="N998" s="298" t="s">
        <v>15855</v>
      </c>
      <c r="O998" s="298" t="s">
        <v>15855</v>
      </c>
      <c r="P998" s="299" t="s">
        <v>15857</v>
      </c>
      <c r="Q998" s="300" t="s">
        <v>15855</v>
      </c>
      <c r="R998" s="182" t="str">
        <f ca="1">IF(ISERROR($V998),"",OFFSET('Smelter Look-up'!$C$4,$V998-4,0)&amp;"")</f>
        <v>O.M. Manufacturing Philippines, Inc.</v>
      </c>
      <c r="S998" s="181" t="str">
        <f t="shared" ca="1" si="140"/>
        <v>PH</v>
      </c>
      <c r="T998" s="181" t="str">
        <f ca="1">IF(B998="","",IF(ISERROR(MATCH($J998,SorP!$B$1:$B$6226,0)),"",INDIRECT("'SorP'!$A$"&amp;MATCH($S998&amp;$J998,SorP!C:C,0))))</f>
        <v>PH-CAV</v>
      </c>
      <c r="U998" s="201"/>
      <c r="V998" s="226">
        <f>IF(C998="",NA(),IF(OR(C998="Smelter not listed",C998="Smelter not yet identified"),MATCH($B998&amp;$D998,'Smelter Look-up'!$J:$J,0),MATCH($B998&amp;$C998,'Smelter Look-up'!$J:$J,0)))</f>
        <v>497</v>
      </c>
      <c r="X998" s="227">
        <f t="shared" si="141"/>
        <v>0</v>
      </c>
      <c r="AB998" s="228" t="str">
        <f t="shared" si="142"/>
        <v>TinO.M. Manufacturing Philippines, Inc.</v>
      </c>
    </row>
    <row r="999" spans="1:28" s="227" customFormat="1" ht="67.5">
      <c r="A999" s="301" t="s">
        <v>1390</v>
      </c>
      <c r="B999" s="293" t="s">
        <v>1120</v>
      </c>
      <c r="C999" s="294" t="s">
        <v>1389</v>
      </c>
      <c r="D999" s="295" t="s">
        <v>1389</v>
      </c>
      <c r="E999" s="293" t="s">
        <v>871</v>
      </c>
      <c r="F999" s="293" t="s">
        <v>1390</v>
      </c>
      <c r="G999" s="293" t="s">
        <v>13217</v>
      </c>
      <c r="H999" s="296" t="s">
        <v>15855</v>
      </c>
      <c r="I999" s="297" t="s">
        <v>12919</v>
      </c>
      <c r="J999" s="297" t="s">
        <v>9429</v>
      </c>
      <c r="K999" s="298" t="s">
        <v>15855</v>
      </c>
      <c r="L999" s="298" t="s">
        <v>15855</v>
      </c>
      <c r="M999" s="298" t="s">
        <v>15855</v>
      </c>
      <c r="N999" s="298" t="s">
        <v>15855</v>
      </c>
      <c r="O999" s="298" t="s">
        <v>15925</v>
      </c>
      <c r="P999" s="299" t="s">
        <v>15857</v>
      </c>
      <c r="Q999" s="300" t="s">
        <v>15855</v>
      </c>
      <c r="R999" s="182" t="str">
        <f ca="1">IF(ISERROR($V999),"",OFFSET('Smelter Look-up'!$C$4,$V999-4,0)&amp;"")</f>
        <v>O.M. Manufacturing Philippines, Inc.</v>
      </c>
      <c r="S999" s="181" t="str">
        <f t="shared" ca="1" si="140"/>
        <v>PH</v>
      </c>
      <c r="T999" s="181" t="str">
        <f ca="1">IF(B999="","",IF(ISERROR(MATCH($J999,SorP!$B$1:$B$6226,0)),"",INDIRECT("'SorP'!$A$"&amp;MATCH($S999&amp;$J999,SorP!C:C,0))))</f>
        <v>PH-CAV</v>
      </c>
      <c r="U999" s="201"/>
      <c r="V999" s="226">
        <f>IF(C999="",NA(),IF(OR(C999="Smelter not listed",C999="Smelter not yet identified"),MATCH($B999&amp;$D999,'Smelter Look-up'!$J:$J,0),MATCH($B999&amp;$C999,'Smelter Look-up'!$J:$J,0)))</f>
        <v>497</v>
      </c>
      <c r="X999" s="227">
        <f t="shared" si="141"/>
        <v>0</v>
      </c>
      <c r="AB999" s="228" t="str">
        <f t="shared" si="142"/>
        <v>TinO.M. Manufacturing Philippines, Inc.</v>
      </c>
    </row>
    <row r="1000" spans="1:28" s="227" customFormat="1" ht="67.5">
      <c r="A1000" s="301" t="s">
        <v>1390</v>
      </c>
      <c r="B1000" s="293" t="s">
        <v>1120</v>
      </c>
      <c r="C1000" s="294" t="s">
        <v>1389</v>
      </c>
      <c r="D1000" s="295" t="s">
        <v>1389</v>
      </c>
      <c r="E1000" s="293" t="s">
        <v>871</v>
      </c>
      <c r="F1000" s="293" t="s">
        <v>1390</v>
      </c>
      <c r="G1000" s="293" t="s">
        <v>13217</v>
      </c>
      <c r="H1000" s="296" t="s">
        <v>15855</v>
      </c>
      <c r="I1000" s="297" t="s">
        <v>12919</v>
      </c>
      <c r="J1000" s="297" t="s">
        <v>9429</v>
      </c>
      <c r="K1000" s="298" t="s">
        <v>16722</v>
      </c>
      <c r="L1000" s="298" t="s">
        <v>16723</v>
      </c>
      <c r="M1000" s="298" t="s">
        <v>15869</v>
      </c>
      <c r="N1000" s="298" t="s">
        <v>15876</v>
      </c>
      <c r="O1000" s="298" t="s">
        <v>15879</v>
      </c>
      <c r="P1000" s="299" t="s">
        <v>15875</v>
      </c>
      <c r="Q1000" s="300" t="s">
        <v>15855</v>
      </c>
      <c r="R1000" s="182" t="str">
        <f ca="1">IF(ISERROR($V1000),"",OFFSET('Smelter Look-up'!$C$4,$V1000-4,0)&amp;"")</f>
        <v>O.M. Manufacturing Philippines, Inc.</v>
      </c>
      <c r="S1000" s="181" t="str">
        <f t="shared" ca="1" si="140"/>
        <v>PH</v>
      </c>
      <c r="T1000" s="181" t="str">
        <f ca="1">IF(B1000="","",IF(ISERROR(MATCH($J1000,SorP!$B$1:$B$6226,0)),"",INDIRECT("'SorP'!$A$"&amp;MATCH($S1000&amp;$J1000,SorP!C:C,0))))</f>
        <v>PH-CAV</v>
      </c>
      <c r="U1000" s="201"/>
      <c r="V1000" s="226">
        <f>IF(C1000="",NA(),IF(OR(C1000="Smelter not listed",C1000="Smelter not yet identified"),MATCH($B1000&amp;$D1000,'Smelter Look-up'!$J:$J,0),MATCH($B1000&amp;$C1000,'Smelter Look-up'!$J:$J,0)))</f>
        <v>497</v>
      </c>
      <c r="X1000" s="227">
        <f t="shared" si="141"/>
        <v>0</v>
      </c>
      <c r="AB1000" s="228" t="str">
        <f t="shared" si="142"/>
        <v>TinO.M. Manufacturing Philippines, Inc.</v>
      </c>
    </row>
    <row r="1001" spans="1:28" s="227" customFormat="1" ht="67.5">
      <c r="A1001" s="301" t="s">
        <v>1390</v>
      </c>
      <c r="B1001" s="293" t="s">
        <v>1120</v>
      </c>
      <c r="C1001" s="294" t="s">
        <v>1389</v>
      </c>
      <c r="D1001" s="295" t="s">
        <v>1389</v>
      </c>
      <c r="E1001" s="293" t="s">
        <v>871</v>
      </c>
      <c r="F1001" s="293" t="s">
        <v>1390</v>
      </c>
      <c r="G1001" s="293" t="s">
        <v>13217</v>
      </c>
      <c r="H1001" s="302" t="s">
        <v>15880</v>
      </c>
      <c r="I1001" s="297" t="s">
        <v>12919</v>
      </c>
      <c r="J1001" s="297" t="s">
        <v>9429</v>
      </c>
      <c r="K1001" s="298" t="s">
        <v>15855</v>
      </c>
      <c r="L1001" s="298" t="s">
        <v>15855</v>
      </c>
      <c r="M1001" s="298" t="s">
        <v>15855</v>
      </c>
      <c r="N1001" s="298" t="s">
        <v>15855</v>
      </c>
      <c r="O1001" s="298" t="s">
        <v>15855</v>
      </c>
      <c r="P1001" s="299" t="s">
        <v>15857</v>
      </c>
      <c r="Q1001" s="300" t="s">
        <v>15855</v>
      </c>
      <c r="R1001" s="182" t="str">
        <f ca="1">IF(ISERROR($V1001),"",OFFSET('Smelter Look-up'!$C$4,$V1001-4,0)&amp;"")</f>
        <v>O.M. Manufacturing Philippines, Inc.</v>
      </c>
      <c r="S1001" s="181" t="str">
        <f t="shared" ca="1" si="140"/>
        <v>PH</v>
      </c>
      <c r="T1001" s="181" t="str">
        <f ca="1">IF(B1001="","",IF(ISERROR(MATCH($J1001,SorP!$B$1:$B$6226,0)),"",INDIRECT("'SorP'!$A$"&amp;MATCH($S1001&amp;$J1001,SorP!C:C,0))))</f>
        <v>PH-CAV</v>
      </c>
      <c r="U1001" s="201"/>
      <c r="V1001" s="226">
        <f>IF(C1001="",NA(),IF(OR(C1001="Smelter not listed",C1001="Smelter not yet identified"),MATCH($B1001&amp;$D1001,'Smelter Look-up'!$J:$J,0),MATCH($B1001&amp;$C1001,'Smelter Look-up'!$J:$J,0)))</f>
        <v>497</v>
      </c>
      <c r="X1001" s="227">
        <f t="shared" si="141"/>
        <v>0</v>
      </c>
      <c r="AB1001" s="228" t="str">
        <f t="shared" si="142"/>
        <v>TinO.M. Manufacturing Philippines, Inc.</v>
      </c>
    </row>
    <row r="1002" spans="1:28" s="227" customFormat="1" ht="67.5">
      <c r="A1002" s="301" t="s">
        <v>1390</v>
      </c>
      <c r="B1002" s="293" t="s">
        <v>1120</v>
      </c>
      <c r="C1002" s="294" t="s">
        <v>1389</v>
      </c>
      <c r="D1002" s="295" t="s">
        <v>1389</v>
      </c>
      <c r="E1002" s="293" t="s">
        <v>871</v>
      </c>
      <c r="F1002" s="293" t="s">
        <v>1390</v>
      </c>
      <c r="G1002" s="293" t="s">
        <v>13217</v>
      </c>
      <c r="H1002" s="302" t="s">
        <v>15880</v>
      </c>
      <c r="I1002" s="297" t="s">
        <v>12919</v>
      </c>
      <c r="J1002" s="297" t="s">
        <v>9429</v>
      </c>
      <c r="K1002" s="298" t="s">
        <v>15855</v>
      </c>
      <c r="L1002" s="298" t="s">
        <v>15855</v>
      </c>
      <c r="M1002" s="298" t="s">
        <v>15855</v>
      </c>
      <c r="N1002" s="298" t="s">
        <v>16724</v>
      </c>
      <c r="O1002" s="298" t="s">
        <v>16724</v>
      </c>
      <c r="P1002" s="299" t="s">
        <v>15875</v>
      </c>
      <c r="Q1002" s="300" t="s">
        <v>15855</v>
      </c>
      <c r="R1002" s="182" t="str">
        <f ca="1">IF(ISERROR($V1002),"",OFFSET('Smelter Look-up'!$C$4,$V1002-4,0)&amp;"")</f>
        <v>O.M. Manufacturing Philippines, Inc.</v>
      </c>
      <c r="S1002" s="181" t="str">
        <f t="shared" ca="1" si="140"/>
        <v>PH</v>
      </c>
      <c r="T1002" s="181" t="str">
        <f ca="1">IF(B1002="","",IF(ISERROR(MATCH($J1002,SorP!$B$1:$B$6226,0)),"",INDIRECT("'SorP'!$A$"&amp;MATCH($S1002&amp;$J1002,SorP!C:C,0))))</f>
        <v>PH-CAV</v>
      </c>
      <c r="U1002" s="201"/>
      <c r="V1002" s="226">
        <f>IF(C1002="",NA(),IF(OR(C1002="Smelter not listed",C1002="Smelter not yet identified"),MATCH($B1002&amp;$D1002,'Smelter Look-up'!$J:$J,0),MATCH($B1002&amp;$C1002,'Smelter Look-up'!$J:$J,0)))</f>
        <v>497</v>
      </c>
      <c r="X1002" s="227">
        <f t="shared" si="141"/>
        <v>0</v>
      </c>
      <c r="AB1002" s="228" t="str">
        <f t="shared" si="142"/>
        <v>TinO.M. Manufacturing Philippines, Inc.</v>
      </c>
    </row>
    <row r="1003" spans="1:28" s="227" customFormat="1" ht="54">
      <c r="A1003" s="301" t="s">
        <v>772</v>
      </c>
      <c r="B1003" s="293" t="s">
        <v>1120</v>
      </c>
      <c r="C1003" s="294" t="s">
        <v>16725</v>
      </c>
      <c r="D1003" s="295" t="s">
        <v>16725</v>
      </c>
      <c r="E1003" s="293" t="s">
        <v>2413</v>
      </c>
      <c r="F1003" s="293" t="s">
        <v>772</v>
      </c>
      <c r="G1003" s="293" t="s">
        <v>13217</v>
      </c>
      <c r="H1003" s="302" t="s">
        <v>15880</v>
      </c>
      <c r="I1003" s="297" t="s">
        <v>1755</v>
      </c>
      <c r="J1003" s="297" t="s">
        <v>1755</v>
      </c>
      <c r="K1003" s="298" t="s">
        <v>16726</v>
      </c>
      <c r="L1003" s="298" t="s">
        <v>16727</v>
      </c>
      <c r="M1003" s="298" t="s">
        <v>16692</v>
      </c>
      <c r="N1003" s="298" t="s">
        <v>16693</v>
      </c>
      <c r="O1003" s="298" t="s">
        <v>16693</v>
      </c>
      <c r="P1003" s="299" t="s">
        <v>15857</v>
      </c>
      <c r="Q1003" s="300" t="s">
        <v>16569</v>
      </c>
      <c r="R1003" s="182" t="str">
        <f ca="1">IF(ISERROR($V1003),"",OFFSET('Smelter Look-up'!$C$4,$V1003-4,0)&amp;"")</f>
        <v/>
      </c>
      <c r="S1003" s="181" t="str">
        <f t="shared" ca="1" si="140"/>
        <v>BO</v>
      </c>
      <c r="T1003" s="181" t="str">
        <f ca="1">IF(B1003="","",IF(ISERROR(MATCH($J1003,SorP!$B$1:$B$6226,0)),"",INDIRECT("'SorP'!$A$"&amp;MATCH($S1003&amp;$J1003,SorP!C:C,0))))</f>
        <v>BO-O</v>
      </c>
      <c r="U1003" s="201"/>
      <c r="V1003" s="226" t="e">
        <f>IF(C1003="",NA(),IF(OR(C1003="Smelter not listed",C1003="Smelter not yet identified"),MATCH($B1003&amp;$D1003,'Smelter Look-up'!$J:$J,0),MATCH($B1003&amp;$C1003,'Smelter Look-up'!$J:$J,0)))</f>
        <v>#N/A</v>
      </c>
      <c r="X1003" s="227">
        <f t="shared" si="141"/>
        <v>0</v>
      </c>
      <c r="AB1003" s="228" t="str">
        <f t="shared" si="142"/>
        <v>TinOperaciones Metalurgical S.A.</v>
      </c>
    </row>
    <row r="1004" spans="1:28" s="227" customFormat="1" ht="54">
      <c r="A1004" s="301" t="s">
        <v>772</v>
      </c>
      <c r="B1004" s="293" t="s">
        <v>1120</v>
      </c>
      <c r="C1004" s="294" t="s">
        <v>13780</v>
      </c>
      <c r="D1004" s="295" t="s">
        <v>13780</v>
      </c>
      <c r="E1004" s="293" t="s">
        <v>2413</v>
      </c>
      <c r="F1004" s="293" t="s">
        <v>772</v>
      </c>
      <c r="G1004" s="293" t="s">
        <v>13217</v>
      </c>
      <c r="H1004" s="296" t="s">
        <v>15855</v>
      </c>
      <c r="I1004" s="297" t="s">
        <v>1755</v>
      </c>
      <c r="J1004" s="297" t="s">
        <v>1755</v>
      </c>
      <c r="K1004" s="298" t="s">
        <v>15855</v>
      </c>
      <c r="L1004" s="298" t="s">
        <v>15855</v>
      </c>
      <c r="M1004" s="298" t="s">
        <v>15855</v>
      </c>
      <c r="N1004" s="298" t="s">
        <v>15855</v>
      </c>
      <c r="O1004" s="298" t="s">
        <v>15855</v>
      </c>
      <c r="P1004" s="299" t="s">
        <v>15857</v>
      </c>
      <c r="Q1004" s="300" t="s">
        <v>15855</v>
      </c>
      <c r="R1004" s="182" t="str">
        <f ca="1">IF(ISERROR($V1004),"",OFFSET('Smelter Look-up'!$C$4,$V1004-4,0)&amp;"")</f>
        <v>Operaciones Metalurgicas S.A.</v>
      </c>
      <c r="S1004" s="181" t="str">
        <f t="shared" ca="1" si="140"/>
        <v>BO</v>
      </c>
      <c r="T1004" s="181" t="str">
        <f ca="1">IF(B1004="","",IF(ISERROR(MATCH($J1004,SorP!$B$1:$B$6226,0)),"",INDIRECT("'SorP'!$A$"&amp;MATCH($S1004&amp;$J1004,SorP!C:C,0))))</f>
        <v>BO-O</v>
      </c>
      <c r="U1004" s="201"/>
      <c r="V1004" s="226">
        <f>IF(C1004="",NA(),IF(OR(C1004="Smelter not listed",C1004="Smelter not yet identified"),MATCH($B1004&amp;$D1004,'Smelter Look-up'!$J:$J,0),MATCH($B1004&amp;$C1004,'Smelter Look-up'!$J:$J,0)))</f>
        <v>499</v>
      </c>
      <c r="X1004" s="227">
        <f t="shared" si="141"/>
        <v>0</v>
      </c>
      <c r="AB1004" s="228" t="str">
        <f t="shared" si="142"/>
        <v>TinOperaciones Metalurgicas S.A.</v>
      </c>
    </row>
    <row r="1005" spans="1:28" s="227" customFormat="1" ht="54">
      <c r="A1005" s="301" t="s">
        <v>772</v>
      </c>
      <c r="B1005" s="293" t="s">
        <v>1120</v>
      </c>
      <c r="C1005" s="294" t="s">
        <v>13780</v>
      </c>
      <c r="D1005" s="295" t="s">
        <v>13780</v>
      </c>
      <c r="E1005" s="293" t="s">
        <v>2413</v>
      </c>
      <c r="F1005" s="293" t="s">
        <v>772</v>
      </c>
      <c r="G1005" s="293" t="s">
        <v>13217</v>
      </c>
      <c r="H1005" s="296" t="s">
        <v>15855</v>
      </c>
      <c r="I1005" s="297" t="s">
        <v>1755</v>
      </c>
      <c r="J1005" s="297" t="s">
        <v>1755</v>
      </c>
      <c r="K1005" s="298" t="s">
        <v>15855</v>
      </c>
      <c r="L1005" s="298" t="s">
        <v>15855</v>
      </c>
      <c r="M1005" s="298" t="s">
        <v>15855</v>
      </c>
      <c r="N1005" s="298" t="s">
        <v>15855</v>
      </c>
      <c r="O1005" s="298" t="s">
        <v>15855</v>
      </c>
      <c r="P1005" s="299" t="s">
        <v>15875</v>
      </c>
      <c r="Q1005" s="300" t="s">
        <v>15855</v>
      </c>
      <c r="R1005" s="182" t="str">
        <f ca="1">IF(ISERROR($V1005),"",OFFSET('Smelter Look-up'!$C$4,$V1005-4,0)&amp;"")</f>
        <v>Operaciones Metalurgicas S.A.</v>
      </c>
      <c r="S1005" s="181" t="str">
        <f t="shared" ca="1" si="140"/>
        <v>BO</v>
      </c>
      <c r="T1005" s="181" t="str">
        <f ca="1">IF(B1005="","",IF(ISERROR(MATCH($J1005,SorP!$B$1:$B$6226,0)),"",INDIRECT("'SorP'!$A$"&amp;MATCH($S1005&amp;$J1005,SorP!C:C,0))))</f>
        <v>BO-O</v>
      </c>
      <c r="U1005" s="201"/>
      <c r="V1005" s="226">
        <f>IF(C1005="",NA(),IF(OR(C1005="Smelter not listed",C1005="Smelter not yet identified"),MATCH($B1005&amp;$D1005,'Smelter Look-up'!$J:$J,0),MATCH($B1005&amp;$C1005,'Smelter Look-up'!$J:$J,0)))</f>
        <v>499</v>
      </c>
      <c r="X1005" s="227">
        <f t="shared" si="141"/>
        <v>0</v>
      </c>
      <c r="AB1005" s="228" t="str">
        <f t="shared" si="142"/>
        <v>TinOperaciones Metalurgicas S.A.</v>
      </c>
    </row>
    <row r="1006" spans="1:28" s="227" customFormat="1" ht="54">
      <c r="A1006" s="301" t="s">
        <v>772</v>
      </c>
      <c r="B1006" s="293" t="s">
        <v>1120</v>
      </c>
      <c r="C1006" s="294" t="s">
        <v>13780</v>
      </c>
      <c r="D1006" s="295" t="s">
        <v>13780</v>
      </c>
      <c r="E1006" s="293" t="s">
        <v>2413</v>
      </c>
      <c r="F1006" s="293" t="s">
        <v>772</v>
      </c>
      <c r="G1006" s="293" t="s">
        <v>13217</v>
      </c>
      <c r="H1006" s="296" t="s">
        <v>15855</v>
      </c>
      <c r="I1006" s="297" t="s">
        <v>1755</v>
      </c>
      <c r="J1006" s="297" t="s">
        <v>1755</v>
      </c>
      <c r="K1006" s="298" t="s">
        <v>15855</v>
      </c>
      <c r="L1006" s="298" t="s">
        <v>15855</v>
      </c>
      <c r="M1006" s="298" t="s">
        <v>15855</v>
      </c>
      <c r="N1006" s="298" t="s">
        <v>15855</v>
      </c>
      <c r="O1006" s="298" t="s">
        <v>16585</v>
      </c>
      <c r="P1006" s="299" t="s">
        <v>15857</v>
      </c>
      <c r="Q1006" s="300" t="s">
        <v>15855</v>
      </c>
      <c r="R1006" s="182" t="str">
        <f ca="1">IF(ISERROR($V1006),"",OFFSET('Smelter Look-up'!$C$4,$V1006-4,0)&amp;"")</f>
        <v>Operaciones Metalurgicas S.A.</v>
      </c>
      <c r="S1006" s="181" t="str">
        <f t="shared" ca="1" si="140"/>
        <v>BO</v>
      </c>
      <c r="T1006" s="181" t="str">
        <f ca="1">IF(B1006="","",IF(ISERROR(MATCH($J1006,SorP!$B$1:$B$6226,0)),"",INDIRECT("'SorP'!$A$"&amp;MATCH($S1006&amp;$J1006,SorP!C:C,0))))</f>
        <v>BO-O</v>
      </c>
      <c r="U1006" s="201"/>
      <c r="V1006" s="226">
        <f>IF(C1006="",NA(),IF(OR(C1006="Smelter not listed",C1006="Smelter not yet identified"),MATCH($B1006&amp;$D1006,'Smelter Look-up'!$J:$J,0),MATCH($B1006&amp;$C1006,'Smelter Look-up'!$J:$J,0)))</f>
        <v>499</v>
      </c>
      <c r="X1006" s="227">
        <f t="shared" si="141"/>
        <v>0</v>
      </c>
      <c r="AB1006" s="228" t="str">
        <f t="shared" si="142"/>
        <v>TinOperaciones Metalurgicas S.A.</v>
      </c>
    </row>
    <row r="1007" spans="1:28" s="227" customFormat="1" ht="54">
      <c r="A1007" s="301" t="s">
        <v>772</v>
      </c>
      <c r="B1007" s="293" t="s">
        <v>1120</v>
      </c>
      <c r="C1007" s="294" t="s">
        <v>13780</v>
      </c>
      <c r="D1007" s="295" t="s">
        <v>13780</v>
      </c>
      <c r="E1007" s="293" t="s">
        <v>2413</v>
      </c>
      <c r="F1007" s="293" t="s">
        <v>772</v>
      </c>
      <c r="G1007" s="293" t="s">
        <v>13217</v>
      </c>
      <c r="H1007" s="296" t="s">
        <v>15855</v>
      </c>
      <c r="I1007" s="297" t="s">
        <v>1755</v>
      </c>
      <c r="J1007" s="297" t="s">
        <v>1755</v>
      </c>
      <c r="K1007" s="298" t="s">
        <v>16728</v>
      </c>
      <c r="L1007" s="298" t="s">
        <v>16727</v>
      </c>
      <c r="M1007" s="298" t="s">
        <v>15892</v>
      </c>
      <c r="N1007" s="298" t="s">
        <v>15862</v>
      </c>
      <c r="O1007" s="298" t="s">
        <v>16729</v>
      </c>
      <c r="P1007" s="299" t="s">
        <v>15857</v>
      </c>
      <c r="Q1007" s="300" t="s">
        <v>15855</v>
      </c>
      <c r="R1007" s="182" t="str">
        <f ca="1">IF(ISERROR($V1007),"",OFFSET('Smelter Look-up'!$C$4,$V1007-4,0)&amp;"")</f>
        <v>Operaciones Metalurgicas S.A.</v>
      </c>
      <c r="S1007" s="181" t="str">
        <f t="shared" ca="1" si="140"/>
        <v>BO</v>
      </c>
      <c r="T1007" s="181" t="str">
        <f ca="1">IF(B1007="","",IF(ISERROR(MATCH($J1007,SorP!$B$1:$B$6226,0)),"",INDIRECT("'SorP'!$A$"&amp;MATCH($S1007&amp;$J1007,SorP!C:C,0))))</f>
        <v>BO-O</v>
      </c>
      <c r="U1007" s="201"/>
      <c r="V1007" s="226">
        <f>IF(C1007="",NA(),IF(OR(C1007="Smelter not listed",C1007="Smelter not yet identified"),MATCH($B1007&amp;$D1007,'Smelter Look-up'!$J:$J,0),MATCH($B1007&amp;$C1007,'Smelter Look-up'!$J:$J,0)))</f>
        <v>499</v>
      </c>
      <c r="X1007" s="227">
        <f t="shared" si="141"/>
        <v>0</v>
      </c>
      <c r="AB1007" s="228" t="str">
        <f t="shared" si="142"/>
        <v>TinOperaciones Metalurgicas S.A.</v>
      </c>
    </row>
    <row r="1008" spans="1:28" s="227" customFormat="1" ht="54">
      <c r="A1008" s="301" t="s">
        <v>772</v>
      </c>
      <c r="B1008" s="293" t="s">
        <v>1120</v>
      </c>
      <c r="C1008" s="294" t="s">
        <v>13780</v>
      </c>
      <c r="D1008" s="295" t="s">
        <v>13780</v>
      </c>
      <c r="E1008" s="293" t="s">
        <v>2413</v>
      </c>
      <c r="F1008" s="293" t="s">
        <v>772</v>
      </c>
      <c r="G1008" s="293" t="s">
        <v>13217</v>
      </c>
      <c r="H1008" s="302" t="s">
        <v>15880</v>
      </c>
      <c r="I1008" s="297" t="s">
        <v>1755</v>
      </c>
      <c r="J1008" s="297" t="s">
        <v>1755</v>
      </c>
      <c r="K1008" s="298" t="s">
        <v>15855</v>
      </c>
      <c r="L1008" s="298" t="s">
        <v>15855</v>
      </c>
      <c r="M1008" s="298" t="s">
        <v>15855</v>
      </c>
      <c r="N1008" s="298" t="s">
        <v>15855</v>
      </c>
      <c r="O1008" s="298" t="s">
        <v>15855</v>
      </c>
      <c r="P1008" s="299" t="s">
        <v>15857</v>
      </c>
      <c r="Q1008" s="300" t="s">
        <v>15855</v>
      </c>
      <c r="R1008" s="182" t="str">
        <f ca="1">IF(ISERROR($V1008),"",OFFSET('Smelter Look-up'!$C$4,$V1008-4,0)&amp;"")</f>
        <v>Operaciones Metalurgicas S.A.</v>
      </c>
      <c r="S1008" s="181" t="str">
        <f t="shared" ca="1" si="140"/>
        <v>BO</v>
      </c>
      <c r="T1008" s="181" t="str">
        <f ca="1">IF(B1008="","",IF(ISERROR(MATCH($J1008,SorP!$B$1:$B$6226,0)),"",INDIRECT("'SorP'!$A$"&amp;MATCH($S1008&amp;$J1008,SorP!C:C,0))))</f>
        <v>BO-O</v>
      </c>
      <c r="U1008" s="201"/>
      <c r="V1008" s="226">
        <f>IF(C1008="",NA(),IF(OR(C1008="Smelter not listed",C1008="Smelter not yet identified"),MATCH($B1008&amp;$D1008,'Smelter Look-up'!$J:$J,0),MATCH($B1008&amp;$C1008,'Smelter Look-up'!$J:$J,0)))</f>
        <v>499</v>
      </c>
      <c r="X1008" s="227">
        <f t="shared" si="141"/>
        <v>0</v>
      </c>
      <c r="AB1008" s="228" t="str">
        <f t="shared" si="142"/>
        <v>TinOperaciones Metalurgicas S.A.</v>
      </c>
    </row>
    <row r="1009" spans="1:28" s="227" customFormat="1" ht="54">
      <c r="A1009" s="301" t="s">
        <v>772</v>
      </c>
      <c r="B1009" s="293" t="s">
        <v>1120</v>
      </c>
      <c r="C1009" s="294" t="s">
        <v>13780</v>
      </c>
      <c r="D1009" s="295" t="s">
        <v>13780</v>
      </c>
      <c r="E1009" s="293" t="s">
        <v>2413</v>
      </c>
      <c r="F1009" s="293" t="s">
        <v>772</v>
      </c>
      <c r="G1009" s="293" t="s">
        <v>13217</v>
      </c>
      <c r="H1009" s="302" t="s">
        <v>15880</v>
      </c>
      <c r="I1009" s="297" t="s">
        <v>1755</v>
      </c>
      <c r="J1009" s="297" t="s">
        <v>1755</v>
      </c>
      <c r="K1009" s="298" t="s">
        <v>16726</v>
      </c>
      <c r="L1009" s="298" t="s">
        <v>16727</v>
      </c>
      <c r="M1009" s="298" t="s">
        <v>16345</v>
      </c>
      <c r="N1009" s="298" t="s">
        <v>16540</v>
      </c>
      <c r="O1009" s="298" t="s">
        <v>16540</v>
      </c>
      <c r="P1009" s="299" t="s">
        <v>15857</v>
      </c>
      <c r="Q1009" s="300" t="s">
        <v>16569</v>
      </c>
      <c r="R1009" s="182" t="str">
        <f ca="1">IF(ISERROR($V1009),"",OFFSET('Smelter Look-up'!$C$4,$V1009-4,0)&amp;"")</f>
        <v>Operaciones Metalurgicas S.A.</v>
      </c>
      <c r="S1009" s="181" t="str">
        <f t="shared" ca="1" si="140"/>
        <v>BO</v>
      </c>
      <c r="T1009" s="181" t="str">
        <f ca="1">IF(B1009="","",IF(ISERROR(MATCH($J1009,SorP!$B$1:$B$6226,0)),"",INDIRECT("'SorP'!$A$"&amp;MATCH($S1009&amp;$J1009,SorP!C:C,0))))</f>
        <v>BO-O</v>
      </c>
      <c r="U1009" s="201"/>
      <c r="V1009" s="226">
        <f>IF(C1009="",NA(),IF(OR(C1009="Smelter not listed",C1009="Smelter not yet identified"),MATCH($B1009&amp;$D1009,'Smelter Look-up'!$J:$J,0),MATCH($B1009&amp;$C1009,'Smelter Look-up'!$J:$J,0)))</f>
        <v>499</v>
      </c>
      <c r="X1009" s="227">
        <f t="shared" si="141"/>
        <v>0</v>
      </c>
      <c r="AB1009" s="228" t="str">
        <f t="shared" si="142"/>
        <v>TinOperaciones Metalurgicas S.A.</v>
      </c>
    </row>
    <row r="1010" spans="1:28" s="227" customFormat="1" ht="54">
      <c r="A1010" s="301" t="s">
        <v>772</v>
      </c>
      <c r="B1010" s="293" t="s">
        <v>1120</v>
      </c>
      <c r="C1010" s="294" t="s">
        <v>13780</v>
      </c>
      <c r="D1010" s="295" t="s">
        <v>13780</v>
      </c>
      <c r="E1010" s="293" t="s">
        <v>2413</v>
      </c>
      <c r="F1010" s="293" t="s">
        <v>772</v>
      </c>
      <c r="G1010" s="293" t="s">
        <v>13217</v>
      </c>
      <c r="H1010" s="296" t="s">
        <v>16730</v>
      </c>
      <c r="I1010" s="297" t="s">
        <v>1755</v>
      </c>
      <c r="J1010" s="297" t="s">
        <v>1755</v>
      </c>
      <c r="K1010" s="298" t="s">
        <v>16726</v>
      </c>
      <c r="L1010" s="298" t="s">
        <v>16727</v>
      </c>
      <c r="M1010" s="298" t="s">
        <v>16345</v>
      </c>
      <c r="N1010" s="298" t="s">
        <v>16540</v>
      </c>
      <c r="O1010" s="298" t="s">
        <v>16540</v>
      </c>
      <c r="P1010" s="299" t="s">
        <v>15857</v>
      </c>
      <c r="Q1010" s="300" t="s">
        <v>15855</v>
      </c>
      <c r="R1010" s="182" t="str">
        <f ca="1">IF(ISERROR($V1010),"",OFFSET('Smelter Look-up'!$C$4,$V1010-4,0)&amp;"")</f>
        <v>Operaciones Metalurgicas S.A.</v>
      </c>
      <c r="S1010" s="181" t="str">
        <f t="shared" ca="1" si="140"/>
        <v>BO</v>
      </c>
      <c r="T1010" s="181" t="str">
        <f ca="1">IF(B1010="","",IF(ISERROR(MATCH($J1010,SorP!$B$1:$B$6226,0)),"",INDIRECT("'SorP'!$A$"&amp;MATCH($S1010&amp;$J1010,SorP!C:C,0))))</f>
        <v>BO-O</v>
      </c>
      <c r="U1010" s="201"/>
      <c r="V1010" s="226">
        <f>IF(C1010="",NA(),IF(OR(C1010="Smelter not listed",C1010="Smelter not yet identified"),MATCH($B1010&amp;$D1010,'Smelter Look-up'!$J:$J,0),MATCH($B1010&amp;$C1010,'Smelter Look-up'!$J:$J,0)))</f>
        <v>499</v>
      </c>
      <c r="X1010" s="227">
        <f t="shared" si="141"/>
        <v>0</v>
      </c>
      <c r="AB1010" s="228" t="str">
        <f t="shared" si="142"/>
        <v>TinOperaciones Metalurgicas S.A.</v>
      </c>
    </row>
    <row r="1011" spans="1:28" s="227" customFormat="1" ht="54">
      <c r="A1011" s="301" t="s">
        <v>12913</v>
      </c>
      <c r="B1011" s="293" t="s">
        <v>1120</v>
      </c>
      <c r="C1011" s="294" t="s">
        <v>12912</v>
      </c>
      <c r="D1011" s="295" t="s">
        <v>12912</v>
      </c>
      <c r="E1011" s="293" t="s">
        <v>1104</v>
      </c>
      <c r="F1011" s="293" t="s">
        <v>12913</v>
      </c>
      <c r="G1011" s="293" t="s">
        <v>13217</v>
      </c>
      <c r="H1011" s="296" t="s">
        <v>15855</v>
      </c>
      <c r="I1011" s="297" t="s">
        <v>8241</v>
      </c>
      <c r="J1011" s="297" t="s">
        <v>8241</v>
      </c>
      <c r="K1011" s="298" t="s">
        <v>15855</v>
      </c>
      <c r="L1011" s="298" t="s">
        <v>15855</v>
      </c>
      <c r="M1011" s="298" t="s">
        <v>15855</v>
      </c>
      <c r="N1011" s="298" t="s">
        <v>15855</v>
      </c>
      <c r="O1011" s="298" t="s">
        <v>15858</v>
      </c>
      <c r="P1011" s="299" t="s">
        <v>15857</v>
      </c>
      <c r="Q1011" s="300" t="s">
        <v>15855</v>
      </c>
      <c r="R1011" s="182" t="str">
        <f ca="1">IF(ISERROR($V1011),"",OFFSET('Smelter Look-up'!$C$4,$V1011-4,0)&amp;"")</f>
        <v>Pongpipat Company Limited</v>
      </c>
      <c r="S1011" s="181" t="str">
        <f t="shared" ca="1" si="140"/>
        <v>MM</v>
      </c>
      <c r="T1011" s="181" t="str">
        <f ca="1">IF(B1011="","",IF(ISERROR(MATCH($J1011,SorP!$B$1:$B$6226,0)),"",INDIRECT("'SorP'!$A$"&amp;MATCH($S1011&amp;$J1011,SorP!C:C,0))))</f>
        <v>MM-06</v>
      </c>
      <c r="U1011" s="201"/>
      <c r="V1011" s="226">
        <f>IF(C1011="",NA(),IF(OR(C1011="Smelter not listed",C1011="Smelter not yet identified"),MATCH($B1011&amp;$D1011,'Smelter Look-up'!$J:$J,0),MATCH($B1011&amp;$C1011,'Smelter Look-up'!$J:$J,0)))</f>
        <v>501</v>
      </c>
      <c r="X1011" s="227">
        <f t="shared" si="141"/>
        <v>0</v>
      </c>
      <c r="AB1011" s="228" t="str">
        <f t="shared" si="142"/>
        <v>TinPongpipat Company Limited</v>
      </c>
    </row>
    <row r="1012" spans="1:28" s="227" customFormat="1" ht="81">
      <c r="A1012" s="301" t="s">
        <v>13783</v>
      </c>
      <c r="B1012" s="293" t="s">
        <v>1120</v>
      </c>
      <c r="C1012" s="294" t="s">
        <v>13782</v>
      </c>
      <c r="D1012" s="295" t="s">
        <v>13782</v>
      </c>
      <c r="E1012" s="293" t="s">
        <v>1096</v>
      </c>
      <c r="F1012" s="293" t="s">
        <v>13783</v>
      </c>
      <c r="G1012" s="293" t="s">
        <v>13217</v>
      </c>
      <c r="H1012" s="296" t="s">
        <v>15855</v>
      </c>
      <c r="I1012" s="297" t="s">
        <v>13803</v>
      </c>
      <c r="J1012" s="297" t="s">
        <v>15542</v>
      </c>
      <c r="K1012" s="298" t="s">
        <v>15855</v>
      </c>
      <c r="L1012" s="298" t="s">
        <v>15855</v>
      </c>
      <c r="M1012" s="298" t="s">
        <v>15855</v>
      </c>
      <c r="N1012" s="298" t="s">
        <v>15855</v>
      </c>
      <c r="O1012" s="298" t="s">
        <v>15858</v>
      </c>
      <c r="P1012" s="299" t="s">
        <v>15857</v>
      </c>
      <c r="Q1012" s="300" t="s">
        <v>15855</v>
      </c>
      <c r="R1012" s="182" t="str">
        <f ca="1">IF(ISERROR($V1012),"",OFFSET('Smelter Look-up'!$C$4,$V1012-4,0)&amp;"")</f>
        <v>Precious Minerals and Smelting Limited</v>
      </c>
      <c r="S1012" s="181" t="str">
        <f t="shared" ca="1" si="140"/>
        <v>IN</v>
      </c>
      <c r="T1012" s="181" t="str">
        <f ca="1">IF(B1012="","",IF(ISERROR(MATCH($J1012,SorP!$B$1:$B$6226,0)),"",INDIRECT("'SorP'!$A$"&amp;MATCH($S1012&amp;$J1012,SorP!C:C,0))))</f>
        <v>IN-CG</v>
      </c>
      <c r="U1012" s="201"/>
      <c r="V1012" s="226">
        <f>IF(C1012="",NA(),IF(OR(C1012="Smelter not listed",C1012="Smelter not yet identified"),MATCH($B1012&amp;$D1012,'Smelter Look-up'!$J:$J,0),MATCH($B1012&amp;$C1012,'Smelter Look-up'!$J:$J,0)))</f>
        <v>502</v>
      </c>
      <c r="X1012" s="227">
        <f t="shared" si="141"/>
        <v>0</v>
      </c>
      <c r="AB1012" s="228" t="str">
        <f t="shared" si="142"/>
        <v>TinPrecious Minerals and Smelting Limited</v>
      </c>
    </row>
    <row r="1013" spans="1:28" s="227" customFormat="1" ht="40.5">
      <c r="A1013" s="301" t="s">
        <v>15063</v>
      </c>
      <c r="B1013" s="293" t="s">
        <v>1120</v>
      </c>
      <c r="C1013" s="294" t="s">
        <v>15061</v>
      </c>
      <c r="D1013" s="295" t="s">
        <v>15062</v>
      </c>
      <c r="E1013" s="293" t="s">
        <v>1095</v>
      </c>
      <c r="F1013" s="293" t="s">
        <v>15063</v>
      </c>
      <c r="G1013" s="293" t="s">
        <v>13217</v>
      </c>
      <c r="H1013" s="296" t="s">
        <v>15855</v>
      </c>
      <c r="I1013" s="297" t="s">
        <v>15108</v>
      </c>
      <c r="J1013" s="297" t="s">
        <v>12830</v>
      </c>
      <c r="K1013" s="298" t="s">
        <v>15855</v>
      </c>
      <c r="L1013" s="298" t="s">
        <v>15855</v>
      </c>
      <c r="M1013" s="298" t="s">
        <v>15855</v>
      </c>
      <c r="N1013" s="298" t="s">
        <v>15855</v>
      </c>
      <c r="O1013" s="298" t="s">
        <v>15855</v>
      </c>
      <c r="P1013" s="299" t="s">
        <v>15857</v>
      </c>
      <c r="Q1013" s="300" t="s">
        <v>15855</v>
      </c>
      <c r="R1013" s="182" t="str">
        <f ca="1">IF(ISERROR($V1013),"",OFFSET('Smelter Look-up'!$C$4,$V1013-4,0)&amp;"")</f>
        <v>PT Aries Kencana Sejahtera</v>
      </c>
      <c r="S1013" s="181" t="str">
        <f t="shared" ca="1" si="140"/>
        <v>ID</v>
      </c>
      <c r="T1013" s="181" t="str">
        <f ca="1">IF(B1013="","",IF(ISERROR(MATCH($J1013,SorP!$B$1:$B$6226,0)),"",INDIRECT("'SorP'!$A$"&amp;MATCH($S1013&amp;$J1013,SorP!C:C,0))))</f>
        <v>ID-BB</v>
      </c>
      <c r="U1013" s="201"/>
      <c r="V1013" s="226">
        <f>IF(C1013="",NA(),IF(OR(C1013="Smelter not listed",C1013="Smelter not yet identified"),MATCH($B1013&amp;$D1013,'Smelter Look-up'!$J:$J,0),MATCH($B1013&amp;$C1013,'Smelter Look-up'!$J:$J,0)))</f>
        <v>424</v>
      </c>
      <c r="X1013" s="227">
        <f t="shared" si="141"/>
        <v>0</v>
      </c>
      <c r="AB1013" s="228" t="str">
        <f t="shared" si="142"/>
        <v>TinCV Nurjanah</v>
      </c>
    </row>
    <row r="1014" spans="1:28" s="227" customFormat="1" ht="67.5">
      <c r="A1014" s="301" t="s">
        <v>15063</v>
      </c>
      <c r="B1014" s="293" t="s">
        <v>1120</v>
      </c>
      <c r="C1014" s="294" t="s">
        <v>15062</v>
      </c>
      <c r="D1014" s="295" t="s">
        <v>15062</v>
      </c>
      <c r="E1014" s="293" t="s">
        <v>1095</v>
      </c>
      <c r="F1014" s="293" t="s">
        <v>15063</v>
      </c>
      <c r="G1014" s="293" t="s">
        <v>13217</v>
      </c>
      <c r="H1014" s="296" t="s">
        <v>15855</v>
      </c>
      <c r="I1014" s="297" t="s">
        <v>15108</v>
      </c>
      <c r="J1014" s="297" t="s">
        <v>12830</v>
      </c>
      <c r="K1014" s="298" t="s">
        <v>15855</v>
      </c>
      <c r="L1014" s="298" t="s">
        <v>15855</v>
      </c>
      <c r="M1014" s="298" t="s">
        <v>15855</v>
      </c>
      <c r="N1014" s="298" t="s">
        <v>15855</v>
      </c>
      <c r="O1014" s="298" t="s">
        <v>15855</v>
      </c>
      <c r="P1014" s="299" t="s">
        <v>15857</v>
      </c>
      <c r="Q1014" s="300" t="s">
        <v>15855</v>
      </c>
      <c r="R1014" s="182" t="str">
        <f ca="1">IF(ISERROR($V1014),"",OFFSET('Smelter Look-up'!$C$4,$V1014-4,0)&amp;"")</f>
        <v>PT Aries Kencana Sejahtera</v>
      </c>
      <c r="S1014" s="181" t="str">
        <f t="shared" ca="1" si="140"/>
        <v>ID</v>
      </c>
      <c r="T1014" s="181" t="str">
        <f ca="1">IF(B1014="","",IF(ISERROR(MATCH($J1014,SorP!$B$1:$B$6226,0)),"",INDIRECT("'SorP'!$A$"&amp;MATCH($S1014&amp;$J1014,SorP!C:C,0))))</f>
        <v>ID-BB</v>
      </c>
      <c r="U1014" s="201"/>
      <c r="V1014" s="226">
        <f>IF(C1014="",NA(),IF(OR(C1014="Smelter not listed",C1014="Smelter not yet identified"),MATCH($B1014&amp;$D1014,'Smelter Look-up'!$J:$J,0),MATCH($B1014&amp;$C1014,'Smelter Look-up'!$J:$J,0)))</f>
        <v>503</v>
      </c>
      <c r="X1014" s="227">
        <f t="shared" si="141"/>
        <v>0</v>
      </c>
      <c r="AB1014" s="228" t="str">
        <f t="shared" si="142"/>
        <v>TinPT Aries Kencana Sejahtera</v>
      </c>
    </row>
    <row r="1015" spans="1:28" s="227" customFormat="1" ht="67.5">
      <c r="A1015" s="301" t="s">
        <v>15063</v>
      </c>
      <c r="B1015" s="293" t="s">
        <v>1120</v>
      </c>
      <c r="C1015" s="294" t="s">
        <v>15062</v>
      </c>
      <c r="D1015" s="295" t="s">
        <v>15062</v>
      </c>
      <c r="E1015" s="293" t="s">
        <v>1095</v>
      </c>
      <c r="F1015" s="293" t="s">
        <v>15063</v>
      </c>
      <c r="G1015" s="293" t="s">
        <v>13217</v>
      </c>
      <c r="H1015" s="296" t="s">
        <v>15855</v>
      </c>
      <c r="I1015" s="297" t="s">
        <v>15108</v>
      </c>
      <c r="J1015" s="297" t="s">
        <v>12830</v>
      </c>
      <c r="K1015" s="298" t="s">
        <v>15855</v>
      </c>
      <c r="L1015" s="298" t="s">
        <v>15855</v>
      </c>
      <c r="M1015" s="298" t="s">
        <v>15855</v>
      </c>
      <c r="N1015" s="298" t="s">
        <v>15855</v>
      </c>
      <c r="O1015" s="298" t="s">
        <v>15855</v>
      </c>
      <c r="P1015" s="299" t="s">
        <v>15857</v>
      </c>
      <c r="Q1015" s="300" t="s">
        <v>16531</v>
      </c>
      <c r="R1015" s="182" t="str">
        <f ca="1">IF(ISERROR($V1015),"",OFFSET('Smelter Look-up'!$C$4,$V1015-4,0)&amp;"")</f>
        <v>PT Aries Kencana Sejahtera</v>
      </c>
      <c r="S1015" s="181" t="str">
        <f t="shared" ca="1" si="140"/>
        <v>ID</v>
      </c>
      <c r="T1015" s="181" t="str">
        <f ca="1">IF(B1015="","",IF(ISERROR(MATCH($J1015,SorP!$B$1:$B$6226,0)),"",INDIRECT("'SorP'!$A$"&amp;MATCH($S1015&amp;$J1015,SorP!C:C,0))))</f>
        <v>ID-BB</v>
      </c>
      <c r="U1015" s="201"/>
      <c r="V1015" s="226">
        <f>IF(C1015="",NA(),IF(OR(C1015="Smelter not listed",C1015="Smelter not yet identified"),MATCH($B1015&amp;$D1015,'Smelter Look-up'!$J:$J,0),MATCH($B1015&amp;$C1015,'Smelter Look-up'!$J:$J,0)))</f>
        <v>503</v>
      </c>
      <c r="X1015" s="227">
        <f t="shared" si="141"/>
        <v>0</v>
      </c>
      <c r="AB1015" s="228" t="str">
        <f t="shared" si="142"/>
        <v>TinPT Aries Kencana Sejahtera</v>
      </c>
    </row>
    <row r="1016" spans="1:28" s="227" customFormat="1" ht="67.5">
      <c r="A1016" s="301" t="s">
        <v>15063</v>
      </c>
      <c r="B1016" s="293" t="s">
        <v>1120</v>
      </c>
      <c r="C1016" s="294" t="s">
        <v>15062</v>
      </c>
      <c r="D1016" s="295" t="s">
        <v>15062</v>
      </c>
      <c r="E1016" s="293" t="s">
        <v>1095</v>
      </c>
      <c r="F1016" s="293" t="s">
        <v>15063</v>
      </c>
      <c r="G1016" s="293" t="s">
        <v>13217</v>
      </c>
      <c r="H1016" s="296" t="s">
        <v>15855</v>
      </c>
      <c r="I1016" s="297" t="s">
        <v>15108</v>
      </c>
      <c r="J1016" s="297" t="s">
        <v>12830</v>
      </c>
      <c r="K1016" s="298" t="s">
        <v>15855</v>
      </c>
      <c r="L1016" s="298" t="s">
        <v>15855</v>
      </c>
      <c r="M1016" s="298" t="s">
        <v>15855</v>
      </c>
      <c r="N1016" s="298" t="s">
        <v>15855</v>
      </c>
      <c r="O1016" s="298" t="s">
        <v>15858</v>
      </c>
      <c r="P1016" s="299" t="s">
        <v>15857</v>
      </c>
      <c r="Q1016" s="300" t="s">
        <v>15855</v>
      </c>
      <c r="R1016" s="182" t="str">
        <f ca="1">IF(ISERROR($V1016),"",OFFSET('Smelter Look-up'!$C$4,$V1016-4,0)&amp;"")</f>
        <v>PT Aries Kencana Sejahtera</v>
      </c>
      <c r="S1016" s="181" t="str">
        <f t="shared" ca="1" si="140"/>
        <v>ID</v>
      </c>
      <c r="T1016" s="181" t="str">
        <f ca="1">IF(B1016="","",IF(ISERROR(MATCH($J1016,SorP!$B$1:$B$6226,0)),"",INDIRECT("'SorP'!$A$"&amp;MATCH($S1016&amp;$J1016,SorP!C:C,0))))</f>
        <v>ID-BB</v>
      </c>
      <c r="U1016" s="201"/>
      <c r="V1016" s="226">
        <f>IF(C1016="",NA(),IF(OR(C1016="Smelter not listed",C1016="Smelter not yet identified"),MATCH($B1016&amp;$D1016,'Smelter Look-up'!$J:$J,0),MATCH($B1016&amp;$C1016,'Smelter Look-up'!$J:$J,0)))</f>
        <v>503</v>
      </c>
      <c r="X1016" s="227">
        <f t="shared" si="141"/>
        <v>0</v>
      </c>
      <c r="AB1016" s="228" t="str">
        <f t="shared" si="142"/>
        <v>TinPT Aries Kencana Sejahtera</v>
      </c>
    </row>
    <row r="1017" spans="1:28" s="227" customFormat="1" ht="67.5">
      <c r="A1017" s="301" t="s">
        <v>15063</v>
      </c>
      <c r="B1017" s="293" t="s">
        <v>1120</v>
      </c>
      <c r="C1017" s="294" t="s">
        <v>15062</v>
      </c>
      <c r="D1017" s="295" t="s">
        <v>15062</v>
      </c>
      <c r="E1017" s="293" t="s">
        <v>1095</v>
      </c>
      <c r="F1017" s="293" t="s">
        <v>15063</v>
      </c>
      <c r="G1017" s="293" t="s">
        <v>13217</v>
      </c>
      <c r="H1017" s="302" t="s">
        <v>15880</v>
      </c>
      <c r="I1017" s="297" t="s">
        <v>15108</v>
      </c>
      <c r="J1017" s="297" t="s">
        <v>12830</v>
      </c>
      <c r="K1017" s="298" t="s">
        <v>15855</v>
      </c>
      <c r="L1017" s="298" t="s">
        <v>15855</v>
      </c>
      <c r="M1017" s="298" t="s">
        <v>15855</v>
      </c>
      <c r="N1017" s="298" t="s">
        <v>15855</v>
      </c>
      <c r="O1017" s="298" t="s">
        <v>15855</v>
      </c>
      <c r="P1017" s="299" t="s">
        <v>15857</v>
      </c>
      <c r="Q1017" s="300" t="s">
        <v>15855</v>
      </c>
      <c r="R1017" s="182" t="str">
        <f ca="1">IF(ISERROR($V1017),"",OFFSET('Smelter Look-up'!$C$4,$V1017-4,0)&amp;"")</f>
        <v>PT Aries Kencana Sejahtera</v>
      </c>
      <c r="S1017" s="181" t="str">
        <f t="shared" ca="1" si="140"/>
        <v>ID</v>
      </c>
      <c r="T1017" s="181" t="str">
        <f ca="1">IF(B1017="","",IF(ISERROR(MATCH($J1017,SorP!$B$1:$B$6226,0)),"",INDIRECT("'SorP'!$A$"&amp;MATCH($S1017&amp;$J1017,SorP!C:C,0))))</f>
        <v>ID-BB</v>
      </c>
      <c r="U1017" s="201"/>
      <c r="V1017" s="226">
        <f>IF(C1017="",NA(),IF(OR(C1017="Smelter not listed",C1017="Smelter not yet identified"),MATCH($B1017&amp;$D1017,'Smelter Look-up'!$J:$J,0),MATCH($B1017&amp;$C1017,'Smelter Look-up'!$J:$J,0)))</f>
        <v>503</v>
      </c>
      <c r="X1017" s="227">
        <f t="shared" si="141"/>
        <v>0</v>
      </c>
      <c r="AB1017" s="228" t="str">
        <f t="shared" si="142"/>
        <v>TinPT Aries Kencana Sejahtera</v>
      </c>
    </row>
    <row r="1018" spans="1:28" s="227" customFormat="1" ht="67.5">
      <c r="A1018" s="301" t="s">
        <v>15063</v>
      </c>
      <c r="B1018" s="293" t="s">
        <v>1120</v>
      </c>
      <c r="C1018" s="294" t="s">
        <v>15062</v>
      </c>
      <c r="D1018" s="295" t="s">
        <v>15062</v>
      </c>
      <c r="E1018" s="293" t="s">
        <v>1095</v>
      </c>
      <c r="F1018" s="293" t="s">
        <v>15063</v>
      </c>
      <c r="G1018" s="293" t="s">
        <v>13217</v>
      </c>
      <c r="H1018" s="302" t="s">
        <v>15880</v>
      </c>
      <c r="I1018" s="297" t="s">
        <v>15108</v>
      </c>
      <c r="J1018" s="297" t="s">
        <v>12830</v>
      </c>
      <c r="K1018" s="298" t="s">
        <v>15855</v>
      </c>
      <c r="L1018" s="298" t="s">
        <v>15855</v>
      </c>
      <c r="M1018" s="298" t="s">
        <v>15855</v>
      </c>
      <c r="N1018" s="298" t="s">
        <v>15855</v>
      </c>
      <c r="O1018" s="298" t="s">
        <v>15855</v>
      </c>
      <c r="P1018" s="299" t="s">
        <v>15857</v>
      </c>
      <c r="Q1018" s="300" t="s">
        <v>16611</v>
      </c>
      <c r="R1018" s="182" t="str">
        <f ca="1">IF(ISERROR($V1018),"",OFFSET('Smelter Look-up'!$C$4,$V1018-4,0)&amp;"")</f>
        <v>PT Aries Kencana Sejahtera</v>
      </c>
      <c r="S1018" s="181" t="str">
        <f t="shared" ca="1" si="140"/>
        <v>ID</v>
      </c>
      <c r="T1018" s="181" t="str">
        <f ca="1">IF(B1018="","",IF(ISERROR(MATCH($J1018,SorP!$B$1:$B$6226,0)),"",INDIRECT("'SorP'!$A$"&amp;MATCH($S1018&amp;$J1018,SorP!C:C,0))))</f>
        <v>ID-BB</v>
      </c>
      <c r="U1018" s="201"/>
      <c r="V1018" s="226">
        <f>IF(C1018="",NA(),IF(OR(C1018="Smelter not listed",C1018="Smelter not yet identified"),MATCH($B1018&amp;$D1018,'Smelter Look-up'!$J:$J,0),MATCH($B1018&amp;$C1018,'Smelter Look-up'!$J:$J,0)))</f>
        <v>503</v>
      </c>
      <c r="X1018" s="227">
        <f t="shared" si="141"/>
        <v>0</v>
      </c>
      <c r="AB1018" s="228" t="str">
        <f t="shared" si="142"/>
        <v>TinPT Aries Kencana Sejahtera</v>
      </c>
    </row>
    <row r="1019" spans="1:28" s="227" customFormat="1" ht="67.5">
      <c r="A1019" s="301" t="s">
        <v>773</v>
      </c>
      <c r="B1019" s="293" t="s">
        <v>1120</v>
      </c>
      <c r="C1019" s="294" t="s">
        <v>834</v>
      </c>
      <c r="D1019" s="295" t="s">
        <v>834</v>
      </c>
      <c r="E1019" s="293" t="s">
        <v>1095</v>
      </c>
      <c r="F1019" s="293" t="s">
        <v>773</v>
      </c>
      <c r="G1019" s="293" t="s">
        <v>13217</v>
      </c>
      <c r="H1019" s="296" t="s">
        <v>15855</v>
      </c>
      <c r="I1019" s="297" t="s">
        <v>1753</v>
      </c>
      <c r="J1019" s="297" t="s">
        <v>12830</v>
      </c>
      <c r="K1019" s="298" t="s">
        <v>15855</v>
      </c>
      <c r="L1019" s="298" t="s">
        <v>15855</v>
      </c>
      <c r="M1019" s="298" t="s">
        <v>15855</v>
      </c>
      <c r="N1019" s="298" t="s">
        <v>15855</v>
      </c>
      <c r="O1019" s="298" t="s">
        <v>15855</v>
      </c>
      <c r="P1019" s="299" t="s">
        <v>15857</v>
      </c>
      <c r="Q1019" s="300" t="s">
        <v>15855</v>
      </c>
      <c r="R1019" s="182" t="str">
        <f ca="1">IF(ISERROR($V1019),"",OFFSET('Smelter Look-up'!$C$4,$V1019-4,0)&amp;"")</f>
        <v>PT Artha Cipta Langgeng</v>
      </c>
      <c r="S1019" s="181" t="str">
        <f t="shared" ref="S1019" ca="1" si="143">IF(B1019="","",IF(ISERROR(MATCH($E1019,CL,0)),"Unknown",INDIRECT("'C'!$A$"&amp;MATCH($E1019,CL,0)+1)))</f>
        <v>ID</v>
      </c>
      <c r="T1019" s="181" t="str">
        <f ca="1">IF(B1019="","",IF(ISERROR(MATCH($J1019,SorP!$B$1:$B$6226,0)),"",INDIRECT("'SorP'!$A$"&amp;MATCH($S1019&amp;$J1019,SorP!C:C,0))))</f>
        <v>ID-BB</v>
      </c>
      <c r="U1019" s="201"/>
      <c r="V1019" s="226">
        <f>IF(C1019="",NA(),IF(OR(C1019="Smelter not listed",C1019="Smelter not yet identified"),MATCH($B1019&amp;$D1019,'Smelter Look-up'!$J:$J,0),MATCH($B1019&amp;$C1019,'Smelter Look-up'!$J:$J,0)))</f>
        <v>504</v>
      </c>
      <c r="X1019" s="227">
        <f t="shared" ref="X1019" si="144">IF(AND(C1019="Smelter not listed",OR(LEN(D1019)=0,LEN(E1019)=0)),1,0)</f>
        <v>0</v>
      </c>
      <c r="AB1019" s="228" t="str">
        <f t="shared" ref="AB1019" si="145">B1019&amp;C1019</f>
        <v>TinPT Artha Cipta Langgeng</v>
      </c>
    </row>
    <row r="1020" spans="1:28" s="227" customFormat="1" ht="67.5">
      <c r="A1020" s="301" t="s">
        <v>773</v>
      </c>
      <c r="B1020" s="293" t="s">
        <v>1120</v>
      </c>
      <c r="C1020" s="294" t="s">
        <v>834</v>
      </c>
      <c r="D1020" s="295" t="s">
        <v>834</v>
      </c>
      <c r="E1020" s="293" t="s">
        <v>1095</v>
      </c>
      <c r="F1020" s="293" t="s">
        <v>773</v>
      </c>
      <c r="G1020" s="293" t="s">
        <v>13217</v>
      </c>
      <c r="H1020" s="296" t="s">
        <v>15855</v>
      </c>
      <c r="I1020" s="297" t="s">
        <v>1753</v>
      </c>
      <c r="J1020" s="297" t="s">
        <v>12830</v>
      </c>
      <c r="K1020" s="298" t="s">
        <v>15855</v>
      </c>
      <c r="L1020" s="298" t="s">
        <v>15855</v>
      </c>
      <c r="M1020" s="298" t="s">
        <v>15855</v>
      </c>
      <c r="N1020" s="298" t="s">
        <v>15855</v>
      </c>
      <c r="O1020" s="298" t="s">
        <v>16731</v>
      </c>
      <c r="P1020" s="299" t="s">
        <v>15857</v>
      </c>
      <c r="Q1020" s="300" t="s">
        <v>15855</v>
      </c>
      <c r="R1020" s="182" t="str">
        <f ca="1">IF(ISERROR($V1020),"",OFFSET('Smelter Look-up'!$C$4,$V1020-4,0)&amp;"")</f>
        <v>PT Artha Cipta Langgeng</v>
      </c>
      <c r="S1020" s="181" t="str">
        <f t="shared" ref="S1020:S1051" ca="1" si="146">IF(B1020="","",IF(ISERROR(MATCH($E1020,CL,0)),"Unknown",INDIRECT("'C'!$A$"&amp;MATCH($E1020,CL,0)+1)))</f>
        <v>ID</v>
      </c>
      <c r="T1020" s="181" t="str">
        <f ca="1">IF(B1020="","",IF(ISERROR(MATCH($J1020,SorP!$B$1:$B$6226,0)),"",INDIRECT("'SorP'!$A$"&amp;MATCH($S1020&amp;$J1020,SorP!C:C,0))))</f>
        <v>ID-BB</v>
      </c>
      <c r="U1020" s="201"/>
      <c r="V1020" s="226">
        <f>IF(C1020="",NA(),IF(OR(C1020="Smelter not listed",C1020="Smelter not yet identified"),MATCH($B1020&amp;$D1020,'Smelter Look-up'!$J:$J,0),MATCH($B1020&amp;$C1020,'Smelter Look-up'!$J:$J,0)))</f>
        <v>504</v>
      </c>
      <c r="X1020" s="227">
        <f t="shared" ref="X1020:X1051" si="147">IF(AND(C1020="Smelter not listed",OR(LEN(D1020)=0,LEN(E1020)=0)),1,0)</f>
        <v>0</v>
      </c>
      <c r="AB1020" s="228" t="str">
        <f t="shared" ref="AB1020:AB1051" si="148">B1020&amp;C1020</f>
        <v>TinPT Artha Cipta Langgeng</v>
      </c>
    </row>
    <row r="1021" spans="1:28" s="227" customFormat="1" ht="67.5">
      <c r="A1021" s="301" t="s">
        <v>773</v>
      </c>
      <c r="B1021" s="293" t="s">
        <v>1120</v>
      </c>
      <c r="C1021" s="294" t="s">
        <v>834</v>
      </c>
      <c r="D1021" s="295" t="s">
        <v>834</v>
      </c>
      <c r="E1021" s="293" t="s">
        <v>1095</v>
      </c>
      <c r="F1021" s="293" t="s">
        <v>773</v>
      </c>
      <c r="G1021" s="293" t="s">
        <v>13217</v>
      </c>
      <c r="H1021" s="296" t="s">
        <v>15855</v>
      </c>
      <c r="I1021" s="297" t="s">
        <v>1753</v>
      </c>
      <c r="J1021" s="297" t="s">
        <v>12830</v>
      </c>
      <c r="K1021" s="298" t="s">
        <v>16732</v>
      </c>
      <c r="L1021" s="298" t="s">
        <v>16733</v>
      </c>
      <c r="M1021" s="298" t="s">
        <v>15869</v>
      </c>
      <c r="N1021" s="298" t="s">
        <v>15862</v>
      </c>
      <c r="O1021" s="298" t="s">
        <v>16729</v>
      </c>
      <c r="P1021" s="299" t="s">
        <v>15857</v>
      </c>
      <c r="Q1021" s="300" t="s">
        <v>15855</v>
      </c>
      <c r="R1021" s="182" t="str">
        <f ca="1">IF(ISERROR($V1021),"",OFFSET('Smelter Look-up'!$C$4,$V1021-4,0)&amp;"")</f>
        <v>PT Artha Cipta Langgeng</v>
      </c>
      <c r="S1021" s="181" t="str">
        <f t="shared" ca="1" si="146"/>
        <v>ID</v>
      </c>
      <c r="T1021" s="181" t="str">
        <f ca="1">IF(B1021="","",IF(ISERROR(MATCH($J1021,SorP!$B$1:$B$6226,0)),"",INDIRECT("'SorP'!$A$"&amp;MATCH($S1021&amp;$J1021,SorP!C:C,0))))</f>
        <v>ID-BB</v>
      </c>
      <c r="U1021" s="201"/>
      <c r="V1021" s="226">
        <f>IF(C1021="",NA(),IF(OR(C1021="Smelter not listed",C1021="Smelter not yet identified"),MATCH($B1021&amp;$D1021,'Smelter Look-up'!$J:$J,0),MATCH($B1021&amp;$C1021,'Smelter Look-up'!$J:$J,0)))</f>
        <v>504</v>
      </c>
      <c r="X1021" s="227">
        <f t="shared" si="147"/>
        <v>0</v>
      </c>
      <c r="AB1021" s="228" t="str">
        <f t="shared" si="148"/>
        <v>TinPT Artha Cipta Langgeng</v>
      </c>
    </row>
    <row r="1022" spans="1:28" s="227" customFormat="1" ht="67.5">
      <c r="A1022" s="301" t="s">
        <v>773</v>
      </c>
      <c r="B1022" s="293" t="s">
        <v>1120</v>
      </c>
      <c r="C1022" s="294" t="s">
        <v>834</v>
      </c>
      <c r="D1022" s="295" t="s">
        <v>834</v>
      </c>
      <c r="E1022" s="293" t="s">
        <v>1095</v>
      </c>
      <c r="F1022" s="293" t="s">
        <v>773</v>
      </c>
      <c r="G1022" s="293" t="s">
        <v>13217</v>
      </c>
      <c r="H1022" s="302" t="s">
        <v>15880</v>
      </c>
      <c r="I1022" s="297" t="s">
        <v>1753</v>
      </c>
      <c r="J1022" s="297" t="s">
        <v>12830</v>
      </c>
      <c r="K1022" s="298" t="s">
        <v>15855</v>
      </c>
      <c r="L1022" s="298" t="s">
        <v>15855</v>
      </c>
      <c r="M1022" s="298" t="s">
        <v>15855</v>
      </c>
      <c r="N1022" s="298" t="s">
        <v>15855</v>
      </c>
      <c r="O1022" s="298" t="s">
        <v>15855</v>
      </c>
      <c r="P1022" s="299" t="s">
        <v>15857</v>
      </c>
      <c r="Q1022" s="300" t="s">
        <v>15855</v>
      </c>
      <c r="R1022" s="182" t="str">
        <f ca="1">IF(ISERROR($V1022),"",OFFSET('Smelter Look-up'!$C$4,$V1022-4,0)&amp;"")</f>
        <v>PT Artha Cipta Langgeng</v>
      </c>
      <c r="S1022" s="181" t="str">
        <f t="shared" ca="1" si="146"/>
        <v>ID</v>
      </c>
      <c r="T1022" s="181" t="str">
        <f ca="1">IF(B1022="","",IF(ISERROR(MATCH($J1022,SorP!$B$1:$B$6226,0)),"",INDIRECT("'SorP'!$A$"&amp;MATCH($S1022&amp;$J1022,SorP!C:C,0))))</f>
        <v>ID-BB</v>
      </c>
      <c r="U1022" s="201"/>
      <c r="V1022" s="226">
        <f>IF(C1022="",NA(),IF(OR(C1022="Smelter not listed",C1022="Smelter not yet identified"),MATCH($B1022&amp;$D1022,'Smelter Look-up'!$J:$J,0),MATCH($B1022&amp;$C1022,'Smelter Look-up'!$J:$J,0)))</f>
        <v>504</v>
      </c>
      <c r="X1022" s="227">
        <f t="shared" si="147"/>
        <v>0</v>
      </c>
      <c r="AB1022" s="228" t="str">
        <f t="shared" si="148"/>
        <v>TinPT Artha Cipta Langgeng</v>
      </c>
    </row>
    <row r="1023" spans="1:28" s="227" customFormat="1" ht="67.5">
      <c r="A1023" s="301" t="s">
        <v>773</v>
      </c>
      <c r="B1023" s="293" t="s">
        <v>1120</v>
      </c>
      <c r="C1023" s="294" t="s">
        <v>834</v>
      </c>
      <c r="D1023" s="295" t="s">
        <v>834</v>
      </c>
      <c r="E1023" s="293" t="s">
        <v>1095</v>
      </c>
      <c r="F1023" s="293" t="s">
        <v>773</v>
      </c>
      <c r="G1023" s="293" t="s">
        <v>13217</v>
      </c>
      <c r="H1023" s="302" t="s">
        <v>15880</v>
      </c>
      <c r="I1023" s="297" t="s">
        <v>1753</v>
      </c>
      <c r="J1023" s="297" t="s">
        <v>12830</v>
      </c>
      <c r="K1023" s="298" t="s">
        <v>15855</v>
      </c>
      <c r="L1023" s="298" t="s">
        <v>15855</v>
      </c>
      <c r="M1023" s="298" t="s">
        <v>15855</v>
      </c>
      <c r="N1023" s="298" t="s">
        <v>16734</v>
      </c>
      <c r="O1023" s="298" t="s">
        <v>16735</v>
      </c>
      <c r="P1023" s="299" t="s">
        <v>15857</v>
      </c>
      <c r="Q1023" s="300" t="s">
        <v>15855</v>
      </c>
      <c r="R1023" s="182" t="str">
        <f ca="1">IF(ISERROR($V1023),"",OFFSET('Smelter Look-up'!$C$4,$V1023-4,0)&amp;"")</f>
        <v>PT Artha Cipta Langgeng</v>
      </c>
      <c r="S1023" s="181" t="str">
        <f t="shared" ca="1" si="146"/>
        <v>ID</v>
      </c>
      <c r="T1023" s="181" t="str">
        <f ca="1">IF(B1023="","",IF(ISERROR(MATCH($J1023,SorP!$B$1:$B$6226,0)),"",INDIRECT("'SorP'!$A$"&amp;MATCH($S1023&amp;$J1023,SorP!C:C,0))))</f>
        <v>ID-BB</v>
      </c>
      <c r="U1023" s="201"/>
      <c r="V1023" s="226">
        <f>IF(C1023="",NA(),IF(OR(C1023="Smelter not listed",C1023="Smelter not yet identified"),MATCH($B1023&amp;$D1023,'Smelter Look-up'!$J:$J,0),MATCH($B1023&amp;$C1023,'Smelter Look-up'!$J:$J,0)))</f>
        <v>504</v>
      </c>
      <c r="X1023" s="227">
        <f t="shared" si="147"/>
        <v>0</v>
      </c>
      <c r="AB1023" s="228" t="str">
        <f t="shared" si="148"/>
        <v>TinPT Artha Cipta Langgeng</v>
      </c>
    </row>
    <row r="1024" spans="1:28" s="227" customFormat="1" ht="67.5">
      <c r="A1024" s="301" t="s">
        <v>1392</v>
      </c>
      <c r="B1024" s="293" t="s">
        <v>1120</v>
      </c>
      <c r="C1024" s="294" t="s">
        <v>1391</v>
      </c>
      <c r="D1024" s="295" t="s">
        <v>1391</v>
      </c>
      <c r="E1024" s="293" t="s">
        <v>1095</v>
      </c>
      <c r="F1024" s="293" t="s">
        <v>1392</v>
      </c>
      <c r="G1024" s="293" t="s">
        <v>13217</v>
      </c>
      <c r="H1024" s="296" t="s">
        <v>15855</v>
      </c>
      <c r="I1024" s="297" t="s">
        <v>1753</v>
      </c>
      <c r="J1024" s="297" t="s">
        <v>12830</v>
      </c>
      <c r="K1024" s="298" t="s">
        <v>15855</v>
      </c>
      <c r="L1024" s="298" t="s">
        <v>15855</v>
      </c>
      <c r="M1024" s="298" t="s">
        <v>15855</v>
      </c>
      <c r="N1024" s="298" t="s">
        <v>15855</v>
      </c>
      <c r="O1024" s="298" t="s">
        <v>15855</v>
      </c>
      <c r="P1024" s="299" t="s">
        <v>15857</v>
      </c>
      <c r="Q1024" s="300" t="s">
        <v>15855</v>
      </c>
      <c r="R1024" s="182" t="str">
        <f ca="1">IF(ISERROR($V1024),"",OFFSET('Smelter Look-up'!$C$4,$V1024-4,0)&amp;"")</f>
        <v>PT ATD Makmur Mandiri Jaya</v>
      </c>
      <c r="S1024" s="181" t="str">
        <f t="shared" ca="1" si="146"/>
        <v>ID</v>
      </c>
      <c r="T1024" s="181" t="str">
        <f ca="1">IF(B1024="","",IF(ISERROR(MATCH($J1024,SorP!$B$1:$B$6226,0)),"",INDIRECT("'SorP'!$A$"&amp;MATCH($S1024&amp;$J1024,SorP!C:C,0))))</f>
        <v>ID-BB</v>
      </c>
      <c r="U1024" s="201"/>
      <c r="V1024" s="226">
        <f>IF(C1024="",NA(),IF(OR(C1024="Smelter not listed",C1024="Smelter not yet identified"),MATCH($B1024&amp;$D1024,'Smelter Look-up'!$J:$J,0),MATCH($B1024&amp;$C1024,'Smelter Look-up'!$J:$J,0)))</f>
        <v>505</v>
      </c>
      <c r="X1024" s="227">
        <f t="shared" si="147"/>
        <v>0</v>
      </c>
      <c r="AB1024" s="228" t="str">
        <f t="shared" si="148"/>
        <v>TinPT ATD Makmur Mandiri Jaya</v>
      </c>
    </row>
    <row r="1025" spans="1:28" s="227" customFormat="1" ht="67.5">
      <c r="A1025" s="301" t="s">
        <v>1392</v>
      </c>
      <c r="B1025" s="293" t="s">
        <v>1120</v>
      </c>
      <c r="C1025" s="294" t="s">
        <v>1391</v>
      </c>
      <c r="D1025" s="295" t="s">
        <v>1391</v>
      </c>
      <c r="E1025" s="293" t="s">
        <v>1095</v>
      </c>
      <c r="F1025" s="293" t="s">
        <v>1392</v>
      </c>
      <c r="G1025" s="293" t="s">
        <v>13217</v>
      </c>
      <c r="H1025" s="296" t="s">
        <v>15855</v>
      </c>
      <c r="I1025" s="297" t="s">
        <v>1753</v>
      </c>
      <c r="J1025" s="297" t="s">
        <v>12830</v>
      </c>
      <c r="K1025" s="298" t="s">
        <v>15855</v>
      </c>
      <c r="L1025" s="298" t="s">
        <v>15855</v>
      </c>
      <c r="M1025" s="298" t="s">
        <v>15855</v>
      </c>
      <c r="N1025" s="298" t="s">
        <v>15855</v>
      </c>
      <c r="O1025" s="298" t="s">
        <v>15855</v>
      </c>
      <c r="P1025" s="299" t="s">
        <v>15857</v>
      </c>
      <c r="Q1025" s="300" t="s">
        <v>16531</v>
      </c>
      <c r="R1025" s="182" t="str">
        <f ca="1">IF(ISERROR($V1025),"",OFFSET('Smelter Look-up'!$C$4,$V1025-4,0)&amp;"")</f>
        <v>PT ATD Makmur Mandiri Jaya</v>
      </c>
      <c r="S1025" s="181" t="str">
        <f t="shared" ca="1" si="146"/>
        <v>ID</v>
      </c>
      <c r="T1025" s="181" t="str">
        <f ca="1">IF(B1025="","",IF(ISERROR(MATCH($J1025,SorP!$B$1:$B$6226,0)),"",INDIRECT("'SorP'!$A$"&amp;MATCH($S1025&amp;$J1025,SorP!C:C,0))))</f>
        <v>ID-BB</v>
      </c>
      <c r="U1025" s="201"/>
      <c r="V1025" s="226">
        <f>IF(C1025="",NA(),IF(OR(C1025="Smelter not listed",C1025="Smelter not yet identified"),MATCH($B1025&amp;$D1025,'Smelter Look-up'!$J:$J,0),MATCH($B1025&amp;$C1025,'Smelter Look-up'!$J:$J,0)))</f>
        <v>505</v>
      </c>
      <c r="X1025" s="227">
        <f t="shared" si="147"/>
        <v>0</v>
      </c>
      <c r="AB1025" s="228" t="str">
        <f t="shared" si="148"/>
        <v>TinPT ATD Makmur Mandiri Jaya</v>
      </c>
    </row>
    <row r="1026" spans="1:28" s="227" customFormat="1" ht="67.5">
      <c r="A1026" s="301" t="s">
        <v>1392</v>
      </c>
      <c r="B1026" s="293" t="s">
        <v>1120</v>
      </c>
      <c r="C1026" s="294" t="s">
        <v>1391</v>
      </c>
      <c r="D1026" s="295" t="s">
        <v>1391</v>
      </c>
      <c r="E1026" s="293" t="s">
        <v>1095</v>
      </c>
      <c r="F1026" s="293" t="s">
        <v>1392</v>
      </c>
      <c r="G1026" s="293" t="s">
        <v>13217</v>
      </c>
      <c r="H1026" s="296" t="s">
        <v>15855</v>
      </c>
      <c r="I1026" s="297" t="s">
        <v>1753</v>
      </c>
      <c r="J1026" s="297" t="s">
        <v>12830</v>
      </c>
      <c r="K1026" s="298" t="s">
        <v>15855</v>
      </c>
      <c r="L1026" s="298" t="s">
        <v>15855</v>
      </c>
      <c r="M1026" s="298" t="s">
        <v>15855</v>
      </c>
      <c r="N1026" s="298" t="s">
        <v>15855</v>
      </c>
      <c r="O1026" s="298" t="s">
        <v>15858</v>
      </c>
      <c r="P1026" s="299" t="s">
        <v>15857</v>
      </c>
      <c r="Q1026" s="300" t="s">
        <v>15855</v>
      </c>
      <c r="R1026" s="182" t="str">
        <f ca="1">IF(ISERROR($V1026),"",OFFSET('Smelter Look-up'!$C$4,$V1026-4,0)&amp;"")</f>
        <v>PT ATD Makmur Mandiri Jaya</v>
      </c>
      <c r="S1026" s="181" t="str">
        <f t="shared" ca="1" si="146"/>
        <v>ID</v>
      </c>
      <c r="T1026" s="181" t="str">
        <f ca="1">IF(B1026="","",IF(ISERROR(MATCH($J1026,SorP!$B$1:$B$6226,0)),"",INDIRECT("'SorP'!$A$"&amp;MATCH($S1026&amp;$J1026,SorP!C:C,0))))</f>
        <v>ID-BB</v>
      </c>
      <c r="U1026" s="201"/>
      <c r="V1026" s="226">
        <f>IF(C1026="",NA(),IF(OR(C1026="Smelter not listed",C1026="Smelter not yet identified"),MATCH($B1026&amp;$D1026,'Smelter Look-up'!$J:$J,0),MATCH($B1026&amp;$C1026,'Smelter Look-up'!$J:$J,0)))</f>
        <v>505</v>
      </c>
      <c r="X1026" s="227">
        <f t="shared" si="147"/>
        <v>0</v>
      </c>
      <c r="AB1026" s="228" t="str">
        <f t="shared" si="148"/>
        <v>TinPT ATD Makmur Mandiri Jaya</v>
      </c>
    </row>
    <row r="1027" spans="1:28" s="227" customFormat="1" ht="67.5">
      <c r="A1027" s="301" t="s">
        <v>1392</v>
      </c>
      <c r="B1027" s="293" t="s">
        <v>1120</v>
      </c>
      <c r="C1027" s="294" t="s">
        <v>1391</v>
      </c>
      <c r="D1027" s="295" t="s">
        <v>1391</v>
      </c>
      <c r="E1027" s="293" t="s">
        <v>1095</v>
      </c>
      <c r="F1027" s="293" t="s">
        <v>1392</v>
      </c>
      <c r="G1027" s="293" t="s">
        <v>13217</v>
      </c>
      <c r="H1027" s="296" t="s">
        <v>15855</v>
      </c>
      <c r="I1027" s="297" t="s">
        <v>1753</v>
      </c>
      <c r="J1027" s="297" t="s">
        <v>12830</v>
      </c>
      <c r="K1027" s="298" t="s">
        <v>16736</v>
      </c>
      <c r="L1027" s="298" t="s">
        <v>16737</v>
      </c>
      <c r="M1027" s="298" t="s">
        <v>15869</v>
      </c>
      <c r="N1027" s="298" t="s">
        <v>15862</v>
      </c>
      <c r="O1027" s="298" t="s">
        <v>16729</v>
      </c>
      <c r="P1027" s="299" t="s">
        <v>15857</v>
      </c>
      <c r="Q1027" s="300" t="s">
        <v>15855</v>
      </c>
      <c r="R1027" s="182" t="str">
        <f ca="1">IF(ISERROR($V1027),"",OFFSET('Smelter Look-up'!$C$4,$V1027-4,0)&amp;"")</f>
        <v>PT ATD Makmur Mandiri Jaya</v>
      </c>
      <c r="S1027" s="181" t="str">
        <f t="shared" ca="1" si="146"/>
        <v>ID</v>
      </c>
      <c r="T1027" s="181" t="str">
        <f ca="1">IF(B1027="","",IF(ISERROR(MATCH($J1027,SorP!$B$1:$B$6226,0)),"",INDIRECT("'SorP'!$A$"&amp;MATCH($S1027&amp;$J1027,SorP!C:C,0))))</f>
        <v>ID-BB</v>
      </c>
      <c r="U1027" s="201"/>
      <c r="V1027" s="226">
        <f>IF(C1027="",NA(),IF(OR(C1027="Smelter not listed",C1027="Smelter not yet identified"),MATCH($B1027&amp;$D1027,'Smelter Look-up'!$J:$J,0),MATCH($B1027&amp;$C1027,'Smelter Look-up'!$J:$J,0)))</f>
        <v>505</v>
      </c>
      <c r="X1027" s="227">
        <f t="shared" si="147"/>
        <v>0</v>
      </c>
      <c r="AB1027" s="228" t="str">
        <f t="shared" si="148"/>
        <v>TinPT ATD Makmur Mandiri Jaya</v>
      </c>
    </row>
    <row r="1028" spans="1:28" s="227" customFormat="1" ht="67.5">
      <c r="A1028" s="301" t="s">
        <v>1392</v>
      </c>
      <c r="B1028" s="293" t="s">
        <v>1120</v>
      </c>
      <c r="C1028" s="294" t="s">
        <v>1391</v>
      </c>
      <c r="D1028" s="295" t="s">
        <v>1391</v>
      </c>
      <c r="E1028" s="293" t="s">
        <v>1095</v>
      </c>
      <c r="F1028" s="293" t="s">
        <v>1392</v>
      </c>
      <c r="G1028" s="293" t="s">
        <v>13217</v>
      </c>
      <c r="H1028" s="302" t="s">
        <v>15880</v>
      </c>
      <c r="I1028" s="297" t="s">
        <v>1753</v>
      </c>
      <c r="J1028" s="297" t="s">
        <v>12830</v>
      </c>
      <c r="K1028" s="298" t="s">
        <v>15855</v>
      </c>
      <c r="L1028" s="298" t="s">
        <v>15855</v>
      </c>
      <c r="M1028" s="298" t="s">
        <v>15855</v>
      </c>
      <c r="N1028" s="298" t="s">
        <v>15855</v>
      </c>
      <c r="O1028" s="298" t="s">
        <v>15855</v>
      </c>
      <c r="P1028" s="299" t="s">
        <v>15857</v>
      </c>
      <c r="Q1028" s="300" t="s">
        <v>15855</v>
      </c>
      <c r="R1028" s="182" t="str">
        <f ca="1">IF(ISERROR($V1028),"",OFFSET('Smelter Look-up'!$C$4,$V1028-4,0)&amp;"")</f>
        <v>PT ATD Makmur Mandiri Jaya</v>
      </c>
      <c r="S1028" s="181" t="str">
        <f t="shared" ca="1" si="146"/>
        <v>ID</v>
      </c>
      <c r="T1028" s="181" t="str">
        <f ca="1">IF(B1028="","",IF(ISERROR(MATCH($J1028,SorP!$B$1:$B$6226,0)),"",INDIRECT("'SorP'!$A$"&amp;MATCH($S1028&amp;$J1028,SorP!C:C,0))))</f>
        <v>ID-BB</v>
      </c>
      <c r="U1028" s="201"/>
      <c r="V1028" s="226">
        <f>IF(C1028="",NA(),IF(OR(C1028="Smelter not listed",C1028="Smelter not yet identified"),MATCH($B1028&amp;$D1028,'Smelter Look-up'!$J:$J,0),MATCH($B1028&amp;$C1028,'Smelter Look-up'!$J:$J,0)))</f>
        <v>505</v>
      </c>
      <c r="X1028" s="227">
        <f t="shared" si="147"/>
        <v>0</v>
      </c>
      <c r="AB1028" s="228" t="str">
        <f t="shared" si="148"/>
        <v>TinPT ATD Makmur Mandiri Jaya</v>
      </c>
    </row>
    <row r="1029" spans="1:28" s="227" customFormat="1" ht="54">
      <c r="A1029" s="301" t="s">
        <v>15443</v>
      </c>
      <c r="B1029" s="293" t="s">
        <v>1120</v>
      </c>
      <c r="C1029" s="294" t="s">
        <v>15442</v>
      </c>
      <c r="D1029" s="295" t="s">
        <v>15442</v>
      </c>
      <c r="E1029" s="293" t="s">
        <v>1095</v>
      </c>
      <c r="F1029" s="293" t="s">
        <v>15443</v>
      </c>
      <c r="G1029" s="293" t="s">
        <v>15865</v>
      </c>
      <c r="H1029" s="296" t="s">
        <v>15855</v>
      </c>
      <c r="I1029" s="297" t="s">
        <v>15444</v>
      </c>
      <c r="J1029" s="297" t="s">
        <v>16738</v>
      </c>
      <c r="K1029" s="298" t="s">
        <v>15855</v>
      </c>
      <c r="L1029" s="298" t="s">
        <v>15855</v>
      </c>
      <c r="M1029" s="298" t="s">
        <v>15855</v>
      </c>
      <c r="N1029" s="298" t="s">
        <v>15855</v>
      </c>
      <c r="O1029" s="298" t="s">
        <v>15855</v>
      </c>
      <c r="P1029" s="299" t="s">
        <v>15857</v>
      </c>
      <c r="Q1029" s="300" t="s">
        <v>15855</v>
      </c>
      <c r="R1029" s="182" t="str">
        <f ca="1">IF(ISERROR($V1029),"",OFFSET('Smelter Look-up'!$C$4,$V1029-4,0)&amp;"")</f>
        <v>PT Babel Inti Perkasa</v>
      </c>
      <c r="S1029" s="181" t="str">
        <f t="shared" ca="1" si="146"/>
        <v>ID</v>
      </c>
      <c r="T1029" s="181" t="str">
        <f ca="1">IF(B1029="","",IF(ISERROR(MATCH($J1029,SorP!$B$1:$B$6226,0)),"",INDIRECT("'SorP'!$A$"&amp;MATCH($S1029&amp;$J1029,SorP!C:C,0))))</f>
        <v/>
      </c>
      <c r="U1029" s="201"/>
      <c r="V1029" s="226">
        <f>IF(C1029="",NA(),IF(OR(C1029="Smelter not listed",C1029="Smelter not yet identified"),MATCH($B1029&amp;$D1029,'Smelter Look-up'!$J:$J,0),MATCH($B1029&amp;$C1029,'Smelter Look-up'!$J:$J,0)))</f>
        <v>506</v>
      </c>
      <c r="X1029" s="227">
        <f t="shared" si="147"/>
        <v>0</v>
      </c>
      <c r="AB1029" s="228" t="str">
        <f t="shared" si="148"/>
        <v>TinPT Babel Inti Perkasa</v>
      </c>
    </row>
    <row r="1030" spans="1:28" s="227" customFormat="1" ht="54">
      <c r="A1030" s="301" t="s">
        <v>15443</v>
      </c>
      <c r="B1030" s="293" t="s">
        <v>1120</v>
      </c>
      <c r="C1030" s="294" t="s">
        <v>15442</v>
      </c>
      <c r="D1030" s="295" t="s">
        <v>15442</v>
      </c>
      <c r="E1030" s="293" t="s">
        <v>1095</v>
      </c>
      <c r="F1030" s="293" t="s">
        <v>15443</v>
      </c>
      <c r="G1030" s="293" t="s">
        <v>13217</v>
      </c>
      <c r="H1030" s="296" t="s">
        <v>15855</v>
      </c>
      <c r="I1030" s="297" t="s">
        <v>15444</v>
      </c>
      <c r="J1030" s="297" t="s">
        <v>12830</v>
      </c>
      <c r="K1030" s="298" t="s">
        <v>15855</v>
      </c>
      <c r="L1030" s="298" t="s">
        <v>15855</v>
      </c>
      <c r="M1030" s="298" t="s">
        <v>15855</v>
      </c>
      <c r="N1030" s="298" t="s">
        <v>15855</v>
      </c>
      <c r="O1030" s="298" t="s">
        <v>15855</v>
      </c>
      <c r="P1030" s="299" t="s">
        <v>15857</v>
      </c>
      <c r="Q1030" s="300" t="s">
        <v>15855</v>
      </c>
      <c r="R1030" s="182" t="str">
        <f ca="1">IF(ISERROR($V1030),"",OFFSET('Smelter Look-up'!$C$4,$V1030-4,0)&amp;"")</f>
        <v>PT Babel Inti Perkasa</v>
      </c>
      <c r="S1030" s="181" t="str">
        <f t="shared" ca="1" si="146"/>
        <v>ID</v>
      </c>
      <c r="T1030" s="181" t="str">
        <f ca="1">IF(B1030="","",IF(ISERROR(MATCH($J1030,SorP!$B$1:$B$6226,0)),"",INDIRECT("'SorP'!$A$"&amp;MATCH($S1030&amp;$J1030,SorP!C:C,0))))</f>
        <v>ID-BB</v>
      </c>
      <c r="U1030" s="201"/>
      <c r="V1030" s="226">
        <f>IF(C1030="",NA(),IF(OR(C1030="Smelter not listed",C1030="Smelter not yet identified"),MATCH($B1030&amp;$D1030,'Smelter Look-up'!$J:$J,0),MATCH($B1030&amp;$C1030,'Smelter Look-up'!$J:$J,0)))</f>
        <v>506</v>
      </c>
      <c r="X1030" s="227">
        <f t="shared" si="147"/>
        <v>0</v>
      </c>
      <c r="AB1030" s="228" t="str">
        <f t="shared" si="148"/>
        <v>TinPT Babel Inti Perkasa</v>
      </c>
    </row>
    <row r="1031" spans="1:28" s="227" customFormat="1" ht="54">
      <c r="A1031" s="301" t="s">
        <v>15443</v>
      </c>
      <c r="B1031" s="293" t="s">
        <v>1120</v>
      </c>
      <c r="C1031" s="294" t="s">
        <v>15442</v>
      </c>
      <c r="D1031" s="295" t="s">
        <v>15442</v>
      </c>
      <c r="E1031" s="293" t="s">
        <v>1095</v>
      </c>
      <c r="F1031" s="293" t="s">
        <v>15443</v>
      </c>
      <c r="G1031" s="293" t="s">
        <v>13217</v>
      </c>
      <c r="H1031" s="296" t="s">
        <v>15855</v>
      </c>
      <c r="I1031" s="297" t="s">
        <v>15444</v>
      </c>
      <c r="J1031" s="297" t="s">
        <v>12830</v>
      </c>
      <c r="K1031" s="298" t="s">
        <v>15855</v>
      </c>
      <c r="L1031" s="298" t="s">
        <v>15855</v>
      </c>
      <c r="M1031" s="298" t="s">
        <v>15855</v>
      </c>
      <c r="N1031" s="298" t="s">
        <v>15855</v>
      </c>
      <c r="O1031" s="298" t="s">
        <v>16731</v>
      </c>
      <c r="P1031" s="299" t="s">
        <v>15857</v>
      </c>
      <c r="Q1031" s="300" t="s">
        <v>15855</v>
      </c>
      <c r="R1031" s="182" t="str">
        <f ca="1">IF(ISERROR($V1031),"",OFFSET('Smelter Look-up'!$C$4,$V1031-4,0)&amp;"")</f>
        <v>PT Babel Inti Perkasa</v>
      </c>
      <c r="S1031" s="181" t="str">
        <f t="shared" ca="1" si="146"/>
        <v>ID</v>
      </c>
      <c r="T1031" s="181" t="str">
        <f ca="1">IF(B1031="","",IF(ISERROR(MATCH($J1031,SorP!$B$1:$B$6226,0)),"",INDIRECT("'SorP'!$A$"&amp;MATCH($S1031&amp;$J1031,SorP!C:C,0))))</f>
        <v>ID-BB</v>
      </c>
      <c r="U1031" s="201"/>
      <c r="V1031" s="226">
        <f>IF(C1031="",NA(),IF(OR(C1031="Smelter not listed",C1031="Smelter not yet identified"),MATCH($B1031&amp;$D1031,'Smelter Look-up'!$J:$J,0),MATCH($B1031&amp;$C1031,'Smelter Look-up'!$J:$J,0)))</f>
        <v>506</v>
      </c>
      <c r="X1031" s="227">
        <f t="shared" si="147"/>
        <v>0</v>
      </c>
      <c r="AB1031" s="228" t="str">
        <f t="shared" si="148"/>
        <v>TinPT Babel Inti Perkasa</v>
      </c>
    </row>
    <row r="1032" spans="1:28" s="227" customFormat="1" ht="54">
      <c r="A1032" s="301" t="s">
        <v>15443</v>
      </c>
      <c r="B1032" s="293" t="s">
        <v>1120</v>
      </c>
      <c r="C1032" s="294" t="s">
        <v>15442</v>
      </c>
      <c r="D1032" s="295" t="s">
        <v>15442</v>
      </c>
      <c r="E1032" s="293" t="s">
        <v>1095</v>
      </c>
      <c r="F1032" s="293" t="s">
        <v>15443</v>
      </c>
      <c r="G1032" s="293" t="s">
        <v>13217</v>
      </c>
      <c r="H1032" s="296" t="s">
        <v>15855</v>
      </c>
      <c r="I1032" s="297" t="s">
        <v>15444</v>
      </c>
      <c r="J1032" s="297" t="s">
        <v>12830</v>
      </c>
      <c r="K1032" s="298" t="s">
        <v>16739</v>
      </c>
      <c r="L1032" s="298" t="s">
        <v>16740</v>
      </c>
      <c r="M1032" s="298" t="s">
        <v>15869</v>
      </c>
      <c r="N1032" s="298" t="s">
        <v>15862</v>
      </c>
      <c r="O1032" s="298" t="s">
        <v>16456</v>
      </c>
      <c r="P1032" s="299" t="s">
        <v>15857</v>
      </c>
      <c r="Q1032" s="300" t="s">
        <v>15855</v>
      </c>
      <c r="R1032" s="182" t="str">
        <f ca="1">IF(ISERROR($V1032),"",OFFSET('Smelter Look-up'!$C$4,$V1032-4,0)&amp;"")</f>
        <v>PT Babel Inti Perkasa</v>
      </c>
      <c r="S1032" s="181" t="str">
        <f t="shared" ca="1" si="146"/>
        <v>ID</v>
      </c>
      <c r="T1032" s="181" t="str">
        <f ca="1">IF(B1032="","",IF(ISERROR(MATCH($J1032,SorP!$B$1:$B$6226,0)),"",INDIRECT("'SorP'!$A$"&amp;MATCH($S1032&amp;$J1032,SorP!C:C,0))))</f>
        <v>ID-BB</v>
      </c>
      <c r="U1032" s="201"/>
      <c r="V1032" s="226">
        <f>IF(C1032="",NA(),IF(OR(C1032="Smelter not listed",C1032="Smelter not yet identified"),MATCH($B1032&amp;$D1032,'Smelter Look-up'!$J:$J,0),MATCH($B1032&amp;$C1032,'Smelter Look-up'!$J:$J,0)))</f>
        <v>506</v>
      </c>
      <c r="X1032" s="227">
        <f t="shared" si="147"/>
        <v>0</v>
      </c>
      <c r="AB1032" s="228" t="str">
        <f t="shared" si="148"/>
        <v>TinPT Babel Inti Perkasa</v>
      </c>
    </row>
    <row r="1033" spans="1:28" s="227" customFormat="1" ht="54">
      <c r="A1033" s="301" t="s">
        <v>15443</v>
      </c>
      <c r="B1033" s="293" t="s">
        <v>1120</v>
      </c>
      <c r="C1033" s="294" t="s">
        <v>15442</v>
      </c>
      <c r="D1033" s="295" t="s">
        <v>15442</v>
      </c>
      <c r="E1033" s="293" t="s">
        <v>1095</v>
      </c>
      <c r="F1033" s="293" t="s">
        <v>15443</v>
      </c>
      <c r="G1033" s="293" t="s">
        <v>13217</v>
      </c>
      <c r="H1033" s="302" t="s">
        <v>15880</v>
      </c>
      <c r="I1033" s="297" t="s">
        <v>15444</v>
      </c>
      <c r="J1033" s="297" t="s">
        <v>12830</v>
      </c>
      <c r="K1033" s="298" t="s">
        <v>15855</v>
      </c>
      <c r="L1033" s="298" t="s">
        <v>15855</v>
      </c>
      <c r="M1033" s="298" t="s">
        <v>15855</v>
      </c>
      <c r="N1033" s="298" t="s">
        <v>15855</v>
      </c>
      <c r="O1033" s="298" t="s">
        <v>15855</v>
      </c>
      <c r="P1033" s="299" t="s">
        <v>15857</v>
      </c>
      <c r="Q1033" s="300" t="s">
        <v>15855</v>
      </c>
      <c r="R1033" s="182" t="str">
        <f ca="1">IF(ISERROR($V1033),"",OFFSET('Smelter Look-up'!$C$4,$V1033-4,0)&amp;"")</f>
        <v>PT Babel Inti Perkasa</v>
      </c>
      <c r="S1033" s="181" t="str">
        <f t="shared" ca="1" si="146"/>
        <v>ID</v>
      </c>
      <c r="T1033" s="181" t="str">
        <f ca="1">IF(B1033="","",IF(ISERROR(MATCH($J1033,SorP!$B$1:$B$6226,0)),"",INDIRECT("'SorP'!$A$"&amp;MATCH($S1033&amp;$J1033,SorP!C:C,0))))</f>
        <v>ID-BB</v>
      </c>
      <c r="U1033" s="201"/>
      <c r="V1033" s="226">
        <f>IF(C1033="",NA(),IF(OR(C1033="Smelter not listed",C1033="Smelter not yet identified"),MATCH($B1033&amp;$D1033,'Smelter Look-up'!$J:$J,0),MATCH($B1033&amp;$C1033,'Smelter Look-up'!$J:$J,0)))</f>
        <v>506</v>
      </c>
      <c r="X1033" s="227">
        <f t="shared" si="147"/>
        <v>0</v>
      </c>
      <c r="AB1033" s="228" t="str">
        <f t="shared" si="148"/>
        <v>TinPT Babel Inti Perkasa</v>
      </c>
    </row>
    <row r="1034" spans="1:28" s="227" customFormat="1" ht="54">
      <c r="A1034" s="301" t="s">
        <v>15443</v>
      </c>
      <c r="B1034" s="293" t="s">
        <v>1120</v>
      </c>
      <c r="C1034" s="294" t="s">
        <v>15442</v>
      </c>
      <c r="D1034" s="295" t="s">
        <v>15442</v>
      </c>
      <c r="E1034" s="293" t="s">
        <v>1095</v>
      </c>
      <c r="F1034" s="293" t="s">
        <v>15443</v>
      </c>
      <c r="G1034" s="293" t="s">
        <v>13217</v>
      </c>
      <c r="H1034" s="296" t="s">
        <v>16741</v>
      </c>
      <c r="I1034" s="297" t="s">
        <v>15444</v>
      </c>
      <c r="J1034" s="297" t="s">
        <v>12830</v>
      </c>
      <c r="K1034" s="298" t="s">
        <v>16742</v>
      </c>
      <c r="L1034" s="298" t="s">
        <v>16743</v>
      </c>
      <c r="M1034" s="298" t="s">
        <v>16744</v>
      </c>
      <c r="N1034" s="298" t="s">
        <v>15442</v>
      </c>
      <c r="O1034" s="298" t="s">
        <v>16735</v>
      </c>
      <c r="P1034" s="299" t="s">
        <v>15857</v>
      </c>
      <c r="Q1034" s="300" t="s">
        <v>16745</v>
      </c>
      <c r="R1034" s="182" t="str">
        <f ca="1">IF(ISERROR($V1034),"",OFFSET('Smelter Look-up'!$C$4,$V1034-4,0)&amp;"")</f>
        <v>PT Babel Inti Perkasa</v>
      </c>
      <c r="S1034" s="181" t="str">
        <f t="shared" ca="1" si="146"/>
        <v>ID</v>
      </c>
      <c r="T1034" s="181" t="str">
        <f ca="1">IF(B1034="","",IF(ISERROR(MATCH($J1034,SorP!$B$1:$B$6226,0)),"",INDIRECT("'SorP'!$A$"&amp;MATCH($S1034&amp;$J1034,SorP!C:C,0))))</f>
        <v>ID-BB</v>
      </c>
      <c r="U1034" s="201"/>
      <c r="V1034" s="226">
        <f>IF(C1034="",NA(),IF(OR(C1034="Smelter not listed",C1034="Smelter not yet identified"),MATCH($B1034&amp;$D1034,'Smelter Look-up'!$J:$J,0),MATCH($B1034&amp;$C1034,'Smelter Look-up'!$J:$J,0)))</f>
        <v>506</v>
      </c>
      <c r="X1034" s="227">
        <f t="shared" si="147"/>
        <v>0</v>
      </c>
      <c r="AB1034" s="228" t="str">
        <f t="shared" si="148"/>
        <v>TinPT Babel Inti Perkasa</v>
      </c>
    </row>
    <row r="1035" spans="1:28" s="227" customFormat="1" ht="54">
      <c r="A1035" s="301" t="s">
        <v>15443</v>
      </c>
      <c r="B1035" s="293" t="s">
        <v>1120</v>
      </c>
      <c r="C1035" s="294" t="s">
        <v>15442</v>
      </c>
      <c r="D1035" s="295" t="s">
        <v>15442</v>
      </c>
      <c r="E1035" s="293" t="s">
        <v>1095</v>
      </c>
      <c r="F1035" s="293" t="s">
        <v>15443</v>
      </c>
      <c r="G1035" s="293" t="s">
        <v>13217</v>
      </c>
      <c r="H1035" s="296" t="s">
        <v>16746</v>
      </c>
      <c r="I1035" s="297" t="s">
        <v>15444</v>
      </c>
      <c r="J1035" s="297" t="s">
        <v>12830</v>
      </c>
      <c r="K1035" s="298" t="s">
        <v>16747</v>
      </c>
      <c r="L1035" s="298" t="s">
        <v>16740</v>
      </c>
      <c r="M1035" s="298" t="s">
        <v>15855</v>
      </c>
      <c r="N1035" s="298" t="s">
        <v>12830</v>
      </c>
      <c r="O1035" s="298" t="s">
        <v>16735</v>
      </c>
      <c r="P1035" s="299" t="s">
        <v>15857</v>
      </c>
      <c r="Q1035" s="300" t="s">
        <v>15855</v>
      </c>
      <c r="R1035" s="182" t="str">
        <f ca="1">IF(ISERROR($V1035),"",OFFSET('Smelter Look-up'!$C$4,$V1035-4,0)&amp;"")</f>
        <v>PT Babel Inti Perkasa</v>
      </c>
      <c r="S1035" s="181" t="str">
        <f t="shared" ca="1" si="146"/>
        <v>ID</v>
      </c>
      <c r="T1035" s="181" t="str">
        <f ca="1">IF(B1035="","",IF(ISERROR(MATCH($J1035,SorP!$B$1:$B$6226,0)),"",INDIRECT("'SorP'!$A$"&amp;MATCH($S1035&amp;$J1035,SorP!C:C,0))))</f>
        <v>ID-BB</v>
      </c>
      <c r="U1035" s="201"/>
      <c r="V1035" s="226">
        <f>IF(C1035="",NA(),IF(OR(C1035="Smelter not listed",C1035="Smelter not yet identified"),MATCH($B1035&amp;$D1035,'Smelter Look-up'!$J:$J,0),MATCH($B1035&amp;$C1035,'Smelter Look-up'!$J:$J,0)))</f>
        <v>506</v>
      </c>
      <c r="X1035" s="227">
        <f t="shared" si="147"/>
        <v>0</v>
      </c>
      <c r="AB1035" s="228" t="str">
        <f t="shared" si="148"/>
        <v>TinPT Babel Inti Perkasa</v>
      </c>
    </row>
    <row r="1036" spans="1:28" s="227" customFormat="1" ht="67.5">
      <c r="A1036" s="301" t="s">
        <v>15076</v>
      </c>
      <c r="B1036" s="293" t="s">
        <v>1120</v>
      </c>
      <c r="C1036" s="294" t="s">
        <v>15075</v>
      </c>
      <c r="D1036" s="295" t="s">
        <v>15075</v>
      </c>
      <c r="E1036" s="293" t="s">
        <v>1095</v>
      </c>
      <c r="F1036" s="293" t="s">
        <v>15076</v>
      </c>
      <c r="G1036" s="293" t="s">
        <v>13217</v>
      </c>
      <c r="H1036" s="296" t="s">
        <v>15855</v>
      </c>
      <c r="I1036" s="297" t="s">
        <v>15112</v>
      </c>
      <c r="J1036" s="297" t="s">
        <v>12830</v>
      </c>
      <c r="K1036" s="298" t="s">
        <v>15855</v>
      </c>
      <c r="L1036" s="298" t="s">
        <v>15855</v>
      </c>
      <c r="M1036" s="298" t="s">
        <v>15855</v>
      </c>
      <c r="N1036" s="298" t="s">
        <v>15855</v>
      </c>
      <c r="O1036" s="298" t="s">
        <v>15855</v>
      </c>
      <c r="P1036" s="299" t="s">
        <v>15857</v>
      </c>
      <c r="Q1036" s="300" t="s">
        <v>15855</v>
      </c>
      <c r="R1036" s="182" t="str">
        <f ca="1">IF(ISERROR($V1036),"",OFFSET('Smelter Look-up'!$C$4,$V1036-4,0)&amp;"")</f>
        <v>PT Babel Surya Alam Lestari</v>
      </c>
      <c r="S1036" s="181" t="str">
        <f t="shared" ca="1" si="146"/>
        <v>ID</v>
      </c>
      <c r="T1036" s="181" t="str">
        <f ca="1">IF(B1036="","",IF(ISERROR(MATCH($J1036,SorP!$B$1:$B$6226,0)),"",INDIRECT("'SorP'!$A$"&amp;MATCH($S1036&amp;$J1036,SorP!C:C,0))))</f>
        <v>ID-BB</v>
      </c>
      <c r="U1036" s="201"/>
      <c r="V1036" s="226">
        <f>IF(C1036="",NA(),IF(OR(C1036="Smelter not listed",C1036="Smelter not yet identified"),MATCH($B1036&amp;$D1036,'Smelter Look-up'!$J:$J,0),MATCH($B1036&amp;$C1036,'Smelter Look-up'!$J:$J,0)))</f>
        <v>507</v>
      </c>
      <c r="X1036" s="227">
        <f t="shared" si="147"/>
        <v>0</v>
      </c>
      <c r="AB1036" s="228" t="str">
        <f t="shared" si="148"/>
        <v>TinPT Babel Surya Alam Lestari</v>
      </c>
    </row>
    <row r="1037" spans="1:28" s="227" customFormat="1" ht="67.5">
      <c r="A1037" s="301" t="s">
        <v>15076</v>
      </c>
      <c r="B1037" s="293" t="s">
        <v>1120</v>
      </c>
      <c r="C1037" s="294" t="s">
        <v>15075</v>
      </c>
      <c r="D1037" s="295" t="s">
        <v>15075</v>
      </c>
      <c r="E1037" s="293" t="s">
        <v>1095</v>
      </c>
      <c r="F1037" s="293" t="s">
        <v>15076</v>
      </c>
      <c r="G1037" s="293" t="s">
        <v>13217</v>
      </c>
      <c r="H1037" s="296" t="s">
        <v>15855</v>
      </c>
      <c r="I1037" s="297" t="s">
        <v>15112</v>
      </c>
      <c r="J1037" s="297" t="s">
        <v>12830</v>
      </c>
      <c r="K1037" s="298" t="s">
        <v>15855</v>
      </c>
      <c r="L1037" s="298" t="s">
        <v>15855</v>
      </c>
      <c r="M1037" s="298" t="s">
        <v>15855</v>
      </c>
      <c r="N1037" s="298" t="s">
        <v>15855</v>
      </c>
      <c r="O1037" s="298" t="s">
        <v>15858</v>
      </c>
      <c r="P1037" s="299" t="s">
        <v>15857</v>
      </c>
      <c r="Q1037" s="300" t="s">
        <v>15855</v>
      </c>
      <c r="R1037" s="182" t="str">
        <f ca="1">IF(ISERROR($V1037),"",OFFSET('Smelter Look-up'!$C$4,$V1037-4,0)&amp;"")</f>
        <v>PT Babel Surya Alam Lestari</v>
      </c>
      <c r="S1037" s="181" t="str">
        <f t="shared" ca="1" si="146"/>
        <v>ID</v>
      </c>
      <c r="T1037" s="181" t="str">
        <f ca="1">IF(B1037="","",IF(ISERROR(MATCH($J1037,SorP!$B$1:$B$6226,0)),"",INDIRECT("'SorP'!$A$"&amp;MATCH($S1037&amp;$J1037,SorP!C:C,0))))</f>
        <v>ID-BB</v>
      </c>
      <c r="U1037" s="201"/>
      <c r="V1037" s="226">
        <f>IF(C1037="",NA(),IF(OR(C1037="Smelter not listed",C1037="Smelter not yet identified"),MATCH($B1037&amp;$D1037,'Smelter Look-up'!$J:$J,0),MATCH($B1037&amp;$C1037,'Smelter Look-up'!$J:$J,0)))</f>
        <v>507</v>
      </c>
      <c r="X1037" s="227">
        <f t="shared" si="147"/>
        <v>0</v>
      </c>
      <c r="AB1037" s="228" t="str">
        <f t="shared" si="148"/>
        <v>TinPT Babel Surya Alam Lestari</v>
      </c>
    </row>
    <row r="1038" spans="1:28" s="227" customFormat="1" ht="67.5">
      <c r="A1038" s="301" t="s">
        <v>15076</v>
      </c>
      <c r="B1038" s="293" t="s">
        <v>1120</v>
      </c>
      <c r="C1038" s="294" t="s">
        <v>15075</v>
      </c>
      <c r="D1038" s="295" t="s">
        <v>15075</v>
      </c>
      <c r="E1038" s="293" t="s">
        <v>1095</v>
      </c>
      <c r="F1038" s="293" t="s">
        <v>15076</v>
      </c>
      <c r="G1038" s="293" t="s">
        <v>13217</v>
      </c>
      <c r="H1038" s="296" t="s">
        <v>15855</v>
      </c>
      <c r="I1038" s="297" t="s">
        <v>15112</v>
      </c>
      <c r="J1038" s="297" t="s">
        <v>12830</v>
      </c>
      <c r="K1038" s="298" t="s">
        <v>16748</v>
      </c>
      <c r="L1038" s="298" t="s">
        <v>16749</v>
      </c>
      <c r="M1038" s="298" t="s">
        <v>15892</v>
      </c>
      <c r="N1038" s="298" t="s">
        <v>15862</v>
      </c>
      <c r="O1038" s="298" t="s">
        <v>16729</v>
      </c>
      <c r="P1038" s="299" t="s">
        <v>15857</v>
      </c>
      <c r="Q1038" s="300" t="s">
        <v>15855</v>
      </c>
      <c r="R1038" s="182" t="str">
        <f ca="1">IF(ISERROR($V1038),"",OFFSET('Smelter Look-up'!$C$4,$V1038-4,0)&amp;"")</f>
        <v>PT Babel Surya Alam Lestari</v>
      </c>
      <c r="S1038" s="181" t="str">
        <f t="shared" ca="1" si="146"/>
        <v>ID</v>
      </c>
      <c r="T1038" s="181" t="str">
        <f ca="1">IF(B1038="","",IF(ISERROR(MATCH($J1038,SorP!$B$1:$B$6226,0)),"",INDIRECT("'SorP'!$A$"&amp;MATCH($S1038&amp;$J1038,SorP!C:C,0))))</f>
        <v>ID-BB</v>
      </c>
      <c r="U1038" s="201"/>
      <c r="V1038" s="226">
        <f>IF(C1038="",NA(),IF(OR(C1038="Smelter not listed",C1038="Smelter not yet identified"),MATCH($B1038&amp;$D1038,'Smelter Look-up'!$J:$J,0),MATCH($B1038&amp;$C1038,'Smelter Look-up'!$J:$J,0)))</f>
        <v>507</v>
      </c>
      <c r="X1038" s="227">
        <f t="shared" si="147"/>
        <v>0</v>
      </c>
      <c r="AB1038" s="228" t="str">
        <f t="shared" si="148"/>
        <v>TinPT Babel Surya Alam Lestari</v>
      </c>
    </row>
    <row r="1039" spans="1:28" s="227" customFormat="1" ht="67.5">
      <c r="A1039" s="301" t="s">
        <v>15076</v>
      </c>
      <c r="B1039" s="293" t="s">
        <v>1120</v>
      </c>
      <c r="C1039" s="294" t="s">
        <v>15075</v>
      </c>
      <c r="D1039" s="295" t="s">
        <v>15075</v>
      </c>
      <c r="E1039" s="293" t="s">
        <v>1095</v>
      </c>
      <c r="F1039" s="293" t="s">
        <v>15076</v>
      </c>
      <c r="G1039" s="293" t="s">
        <v>13217</v>
      </c>
      <c r="H1039" s="302" t="s">
        <v>15880</v>
      </c>
      <c r="I1039" s="297" t="s">
        <v>15112</v>
      </c>
      <c r="J1039" s="297" t="s">
        <v>12830</v>
      </c>
      <c r="K1039" s="298" t="s">
        <v>15855</v>
      </c>
      <c r="L1039" s="298" t="s">
        <v>15855</v>
      </c>
      <c r="M1039" s="298" t="s">
        <v>15855</v>
      </c>
      <c r="N1039" s="298" t="s">
        <v>15855</v>
      </c>
      <c r="O1039" s="298" t="s">
        <v>15855</v>
      </c>
      <c r="P1039" s="299" t="s">
        <v>15857</v>
      </c>
      <c r="Q1039" s="300" t="s">
        <v>15855</v>
      </c>
      <c r="R1039" s="182" t="str">
        <f ca="1">IF(ISERROR($V1039),"",OFFSET('Smelter Look-up'!$C$4,$V1039-4,0)&amp;"")</f>
        <v>PT Babel Surya Alam Lestari</v>
      </c>
      <c r="S1039" s="181" t="str">
        <f t="shared" ca="1" si="146"/>
        <v>ID</v>
      </c>
      <c r="T1039" s="181" t="str">
        <f ca="1">IF(B1039="","",IF(ISERROR(MATCH($J1039,SorP!$B$1:$B$6226,0)),"",INDIRECT("'SorP'!$A$"&amp;MATCH($S1039&amp;$J1039,SorP!C:C,0))))</f>
        <v>ID-BB</v>
      </c>
      <c r="U1039" s="201"/>
      <c r="V1039" s="226">
        <f>IF(C1039="",NA(),IF(OR(C1039="Smelter not listed",C1039="Smelter not yet identified"),MATCH($B1039&amp;$D1039,'Smelter Look-up'!$J:$J,0),MATCH($B1039&amp;$C1039,'Smelter Look-up'!$J:$J,0)))</f>
        <v>507</v>
      </c>
      <c r="X1039" s="227">
        <f t="shared" si="147"/>
        <v>0</v>
      </c>
      <c r="AB1039" s="228" t="str">
        <f t="shared" si="148"/>
        <v>TinPT Babel Surya Alam Lestari</v>
      </c>
    </row>
    <row r="1040" spans="1:28" s="227" customFormat="1" ht="67.5">
      <c r="A1040" s="301" t="s">
        <v>15076</v>
      </c>
      <c r="B1040" s="293" t="s">
        <v>1120</v>
      </c>
      <c r="C1040" s="294" t="s">
        <v>15075</v>
      </c>
      <c r="D1040" s="295" t="s">
        <v>15075</v>
      </c>
      <c r="E1040" s="293" t="s">
        <v>1095</v>
      </c>
      <c r="F1040" s="293" t="s">
        <v>15076</v>
      </c>
      <c r="G1040" s="293" t="s">
        <v>13217</v>
      </c>
      <c r="H1040" s="296" t="s">
        <v>16750</v>
      </c>
      <c r="I1040" s="297" t="s">
        <v>15112</v>
      </c>
      <c r="J1040" s="297" t="s">
        <v>12830</v>
      </c>
      <c r="K1040" s="298" t="s">
        <v>15855</v>
      </c>
      <c r="L1040" s="298" t="s">
        <v>15855</v>
      </c>
      <c r="M1040" s="298" t="s">
        <v>16562</v>
      </c>
      <c r="N1040" s="298" t="s">
        <v>16751</v>
      </c>
      <c r="O1040" s="298" t="s">
        <v>16735</v>
      </c>
      <c r="P1040" s="299" t="s">
        <v>15857</v>
      </c>
      <c r="Q1040" s="300" t="s">
        <v>16752</v>
      </c>
      <c r="R1040" s="182" t="str">
        <f ca="1">IF(ISERROR($V1040),"",OFFSET('Smelter Look-up'!$C$4,$V1040-4,0)&amp;"")</f>
        <v>PT Babel Surya Alam Lestari</v>
      </c>
      <c r="S1040" s="181" t="str">
        <f t="shared" ca="1" si="146"/>
        <v>ID</v>
      </c>
      <c r="T1040" s="181" t="str">
        <f ca="1">IF(B1040="","",IF(ISERROR(MATCH($J1040,SorP!$B$1:$B$6226,0)),"",INDIRECT("'SorP'!$A$"&amp;MATCH($S1040&amp;$J1040,SorP!C:C,0))))</f>
        <v>ID-BB</v>
      </c>
      <c r="U1040" s="201"/>
      <c r="V1040" s="226">
        <f>IF(C1040="",NA(),IF(OR(C1040="Smelter not listed",C1040="Smelter not yet identified"),MATCH($B1040&amp;$D1040,'Smelter Look-up'!$J:$J,0),MATCH($B1040&amp;$C1040,'Smelter Look-up'!$J:$J,0)))</f>
        <v>507</v>
      </c>
      <c r="X1040" s="227">
        <f t="shared" si="147"/>
        <v>0</v>
      </c>
      <c r="AB1040" s="228" t="str">
        <f t="shared" si="148"/>
        <v>TinPT Babel Surya Alam Lestari</v>
      </c>
    </row>
    <row r="1041" spans="1:28" s="227" customFormat="1" ht="54">
      <c r="A1041" s="301" t="s">
        <v>15507</v>
      </c>
      <c r="B1041" s="293" t="s">
        <v>1120</v>
      </c>
      <c r="C1041" s="294" t="s">
        <v>15506</v>
      </c>
      <c r="D1041" s="295" t="s">
        <v>15506</v>
      </c>
      <c r="E1041" s="293" t="s">
        <v>1095</v>
      </c>
      <c r="F1041" s="293" t="s">
        <v>15507</v>
      </c>
      <c r="G1041" s="293" t="s">
        <v>13217</v>
      </c>
      <c r="H1041" s="296" t="s">
        <v>15855</v>
      </c>
      <c r="I1041" s="297" t="s">
        <v>15512</v>
      </c>
      <c r="J1041" s="297" t="s">
        <v>12830</v>
      </c>
      <c r="K1041" s="298" t="s">
        <v>15855</v>
      </c>
      <c r="L1041" s="298" t="s">
        <v>15855</v>
      </c>
      <c r="M1041" s="298" t="s">
        <v>15855</v>
      </c>
      <c r="N1041" s="298" t="s">
        <v>15855</v>
      </c>
      <c r="O1041" s="298" t="s">
        <v>15855</v>
      </c>
      <c r="P1041" s="299" t="s">
        <v>15857</v>
      </c>
      <c r="Q1041" s="300" t="s">
        <v>16531</v>
      </c>
      <c r="R1041" s="182" t="str">
        <f ca="1">IF(ISERROR($V1041),"",OFFSET('Smelter Look-up'!$C$4,$V1041-4,0)&amp;"")</f>
        <v>PT Bangka Prima Tin</v>
      </c>
      <c r="S1041" s="181" t="str">
        <f t="shared" ca="1" si="146"/>
        <v>ID</v>
      </c>
      <c r="T1041" s="181" t="str">
        <f ca="1">IF(B1041="","",IF(ISERROR(MATCH($J1041,SorP!$B$1:$B$6226,0)),"",INDIRECT("'SorP'!$A$"&amp;MATCH($S1041&amp;$J1041,SorP!C:C,0))))</f>
        <v>ID-BB</v>
      </c>
      <c r="U1041" s="201"/>
      <c r="V1041" s="226">
        <f>IF(C1041="",NA(),IF(OR(C1041="Smelter not listed",C1041="Smelter not yet identified"),MATCH($B1041&amp;$D1041,'Smelter Look-up'!$J:$J,0),MATCH($B1041&amp;$C1041,'Smelter Look-up'!$J:$J,0)))</f>
        <v>508</v>
      </c>
      <c r="X1041" s="227">
        <f t="shared" si="147"/>
        <v>0</v>
      </c>
      <c r="AB1041" s="228" t="str">
        <f t="shared" si="148"/>
        <v>TinPT Bangka Prima Tin</v>
      </c>
    </row>
    <row r="1042" spans="1:28" s="227" customFormat="1" ht="54">
      <c r="A1042" s="301" t="s">
        <v>15507</v>
      </c>
      <c r="B1042" s="293" t="s">
        <v>1120</v>
      </c>
      <c r="C1042" s="294" t="s">
        <v>15506</v>
      </c>
      <c r="D1042" s="295" t="s">
        <v>15506</v>
      </c>
      <c r="E1042" s="293" t="s">
        <v>1095</v>
      </c>
      <c r="F1042" s="293" t="s">
        <v>15507</v>
      </c>
      <c r="G1042" s="293" t="s">
        <v>13217</v>
      </c>
      <c r="H1042" s="296" t="s">
        <v>15855</v>
      </c>
      <c r="I1042" s="297" t="s">
        <v>15512</v>
      </c>
      <c r="J1042" s="297" t="s">
        <v>12830</v>
      </c>
      <c r="K1042" s="298" t="s">
        <v>15855</v>
      </c>
      <c r="L1042" s="298" t="s">
        <v>15855</v>
      </c>
      <c r="M1042" s="298" t="s">
        <v>15855</v>
      </c>
      <c r="N1042" s="298" t="s">
        <v>15855</v>
      </c>
      <c r="O1042" s="298" t="s">
        <v>15858</v>
      </c>
      <c r="P1042" s="299" t="s">
        <v>15857</v>
      </c>
      <c r="Q1042" s="300" t="s">
        <v>15855</v>
      </c>
      <c r="R1042" s="182" t="str">
        <f ca="1">IF(ISERROR($V1042),"",OFFSET('Smelter Look-up'!$C$4,$V1042-4,0)&amp;"")</f>
        <v>PT Bangka Prima Tin</v>
      </c>
      <c r="S1042" s="181" t="str">
        <f t="shared" ca="1" si="146"/>
        <v>ID</v>
      </c>
      <c r="T1042" s="181" t="str">
        <f ca="1">IF(B1042="","",IF(ISERROR(MATCH($J1042,SorP!$B$1:$B$6226,0)),"",INDIRECT("'SorP'!$A$"&amp;MATCH($S1042&amp;$J1042,SorP!C:C,0))))</f>
        <v>ID-BB</v>
      </c>
      <c r="U1042" s="201"/>
      <c r="V1042" s="226">
        <f>IF(C1042="",NA(),IF(OR(C1042="Smelter not listed",C1042="Smelter not yet identified"),MATCH($B1042&amp;$D1042,'Smelter Look-up'!$J:$J,0),MATCH($B1042&amp;$C1042,'Smelter Look-up'!$J:$J,0)))</f>
        <v>508</v>
      </c>
      <c r="X1042" s="227">
        <f t="shared" si="147"/>
        <v>0</v>
      </c>
      <c r="AB1042" s="228" t="str">
        <f t="shared" si="148"/>
        <v>TinPT Bangka Prima Tin</v>
      </c>
    </row>
    <row r="1043" spans="1:28" s="227" customFormat="1" ht="54">
      <c r="A1043" s="301" t="s">
        <v>15507</v>
      </c>
      <c r="B1043" s="293" t="s">
        <v>1120</v>
      </c>
      <c r="C1043" s="294" t="s">
        <v>15506</v>
      </c>
      <c r="D1043" s="295" t="s">
        <v>15506</v>
      </c>
      <c r="E1043" s="293" t="s">
        <v>1095</v>
      </c>
      <c r="F1043" s="293" t="s">
        <v>15507</v>
      </c>
      <c r="G1043" s="293" t="s">
        <v>13217</v>
      </c>
      <c r="H1043" s="302" t="s">
        <v>15880</v>
      </c>
      <c r="I1043" s="297" t="s">
        <v>15512</v>
      </c>
      <c r="J1043" s="297" t="s">
        <v>12830</v>
      </c>
      <c r="K1043" s="298" t="s">
        <v>15855</v>
      </c>
      <c r="L1043" s="298" t="s">
        <v>15855</v>
      </c>
      <c r="M1043" s="298" t="s">
        <v>15855</v>
      </c>
      <c r="N1043" s="298" t="s">
        <v>15855</v>
      </c>
      <c r="O1043" s="298" t="s">
        <v>15855</v>
      </c>
      <c r="P1043" s="299" t="s">
        <v>15857</v>
      </c>
      <c r="Q1043" s="300" t="s">
        <v>15855</v>
      </c>
      <c r="R1043" s="182" t="str">
        <f ca="1">IF(ISERROR($V1043),"",OFFSET('Smelter Look-up'!$C$4,$V1043-4,0)&amp;"")</f>
        <v>PT Bangka Prima Tin</v>
      </c>
      <c r="S1043" s="181" t="str">
        <f t="shared" ca="1" si="146"/>
        <v>ID</v>
      </c>
      <c r="T1043" s="181" t="str">
        <f ca="1">IF(B1043="","",IF(ISERROR(MATCH($J1043,SorP!$B$1:$B$6226,0)),"",INDIRECT("'SorP'!$A$"&amp;MATCH($S1043&amp;$J1043,SorP!C:C,0))))</f>
        <v>ID-BB</v>
      </c>
      <c r="U1043" s="201"/>
      <c r="V1043" s="226">
        <f>IF(C1043="",NA(),IF(OR(C1043="Smelter not listed",C1043="Smelter not yet identified"),MATCH($B1043&amp;$D1043,'Smelter Look-up'!$J:$J,0),MATCH($B1043&amp;$C1043,'Smelter Look-up'!$J:$J,0)))</f>
        <v>508</v>
      </c>
      <c r="X1043" s="227">
        <f t="shared" si="147"/>
        <v>0</v>
      </c>
      <c r="AB1043" s="228" t="str">
        <f t="shared" si="148"/>
        <v>TinPT Bangka Prima Tin</v>
      </c>
    </row>
    <row r="1044" spans="1:28" s="227" customFormat="1" ht="54">
      <c r="A1044" s="301" t="s">
        <v>14001</v>
      </c>
      <c r="B1044" s="293" t="s">
        <v>1120</v>
      </c>
      <c r="C1044" s="294" t="s">
        <v>12914</v>
      </c>
      <c r="D1044" s="295" t="s">
        <v>12914</v>
      </c>
      <c r="E1044" s="293" t="s">
        <v>1095</v>
      </c>
      <c r="F1044" s="293" t="s">
        <v>14001</v>
      </c>
      <c r="G1044" s="293" t="s">
        <v>13217</v>
      </c>
      <c r="H1044" s="296" t="s">
        <v>15855</v>
      </c>
      <c r="I1044" s="297" t="s">
        <v>15113</v>
      </c>
      <c r="J1044" s="297" t="s">
        <v>12830</v>
      </c>
      <c r="K1044" s="298" t="s">
        <v>15855</v>
      </c>
      <c r="L1044" s="298" t="s">
        <v>15855</v>
      </c>
      <c r="M1044" s="298" t="s">
        <v>15855</v>
      </c>
      <c r="N1044" s="298" t="s">
        <v>15855</v>
      </c>
      <c r="O1044" s="298" t="s">
        <v>15855</v>
      </c>
      <c r="P1044" s="299" t="s">
        <v>15857</v>
      </c>
      <c r="Q1044" s="300" t="s">
        <v>15855</v>
      </c>
      <c r="R1044" s="182" t="str">
        <f ca="1">IF(ISERROR($V1044),"",OFFSET('Smelter Look-up'!$C$4,$V1044-4,0)&amp;"")</f>
        <v>PT Bangka Serumpun</v>
      </c>
      <c r="S1044" s="181" t="str">
        <f t="shared" ca="1" si="146"/>
        <v>ID</v>
      </c>
      <c r="T1044" s="181" t="str">
        <f ca="1">IF(B1044="","",IF(ISERROR(MATCH($J1044,SorP!$B$1:$B$6226,0)),"",INDIRECT("'SorP'!$A$"&amp;MATCH($S1044&amp;$J1044,SorP!C:C,0))))</f>
        <v>ID-BB</v>
      </c>
      <c r="U1044" s="201"/>
      <c r="V1044" s="226">
        <f>IF(C1044="",NA(),IF(OR(C1044="Smelter not listed",C1044="Smelter not yet identified"),MATCH($B1044&amp;$D1044,'Smelter Look-up'!$J:$J,0),MATCH($B1044&amp;$C1044,'Smelter Look-up'!$J:$J,0)))</f>
        <v>509</v>
      </c>
      <c r="X1044" s="227">
        <f t="shared" si="147"/>
        <v>0</v>
      </c>
      <c r="AB1044" s="228" t="str">
        <f t="shared" si="148"/>
        <v>TinPT Bangka Serumpun</v>
      </c>
    </row>
    <row r="1045" spans="1:28" s="227" customFormat="1" ht="54">
      <c r="A1045" s="301" t="s">
        <v>14001</v>
      </c>
      <c r="B1045" s="293" t="s">
        <v>1120</v>
      </c>
      <c r="C1045" s="294" t="s">
        <v>12914</v>
      </c>
      <c r="D1045" s="295" t="s">
        <v>12914</v>
      </c>
      <c r="E1045" s="293" t="s">
        <v>1095</v>
      </c>
      <c r="F1045" s="293" t="s">
        <v>14001</v>
      </c>
      <c r="G1045" s="293" t="s">
        <v>13217</v>
      </c>
      <c r="H1045" s="296" t="s">
        <v>15855</v>
      </c>
      <c r="I1045" s="297" t="s">
        <v>15113</v>
      </c>
      <c r="J1045" s="297" t="s">
        <v>12830</v>
      </c>
      <c r="K1045" s="298" t="s">
        <v>15855</v>
      </c>
      <c r="L1045" s="298" t="s">
        <v>15855</v>
      </c>
      <c r="M1045" s="298" t="s">
        <v>15855</v>
      </c>
      <c r="N1045" s="298" t="s">
        <v>15855</v>
      </c>
      <c r="O1045" s="298" t="s">
        <v>16731</v>
      </c>
      <c r="P1045" s="299" t="s">
        <v>15857</v>
      </c>
      <c r="Q1045" s="300" t="s">
        <v>15855</v>
      </c>
      <c r="R1045" s="182" t="str">
        <f ca="1">IF(ISERROR($V1045),"",OFFSET('Smelter Look-up'!$C$4,$V1045-4,0)&amp;"")</f>
        <v>PT Bangka Serumpun</v>
      </c>
      <c r="S1045" s="181" t="str">
        <f t="shared" ca="1" si="146"/>
        <v>ID</v>
      </c>
      <c r="T1045" s="181" t="str">
        <f ca="1">IF(B1045="","",IF(ISERROR(MATCH($J1045,SorP!$B$1:$B$6226,0)),"",INDIRECT("'SorP'!$A$"&amp;MATCH($S1045&amp;$J1045,SorP!C:C,0))))</f>
        <v>ID-BB</v>
      </c>
      <c r="U1045" s="201"/>
      <c r="V1045" s="226">
        <f>IF(C1045="",NA(),IF(OR(C1045="Smelter not listed",C1045="Smelter not yet identified"),MATCH($B1045&amp;$D1045,'Smelter Look-up'!$J:$J,0),MATCH($B1045&amp;$C1045,'Smelter Look-up'!$J:$J,0)))</f>
        <v>509</v>
      </c>
      <c r="X1045" s="227">
        <f t="shared" si="147"/>
        <v>0</v>
      </c>
      <c r="AB1045" s="228" t="str">
        <f t="shared" si="148"/>
        <v>TinPT Bangka Serumpun</v>
      </c>
    </row>
    <row r="1046" spans="1:28" s="227" customFormat="1" ht="54">
      <c r="A1046" s="301" t="s">
        <v>14001</v>
      </c>
      <c r="B1046" s="293" t="s">
        <v>1120</v>
      </c>
      <c r="C1046" s="294" t="s">
        <v>12914</v>
      </c>
      <c r="D1046" s="295" t="s">
        <v>12914</v>
      </c>
      <c r="E1046" s="293" t="s">
        <v>1095</v>
      </c>
      <c r="F1046" s="293" t="s">
        <v>14001</v>
      </c>
      <c r="G1046" s="293" t="s">
        <v>13217</v>
      </c>
      <c r="H1046" s="296" t="s">
        <v>15855</v>
      </c>
      <c r="I1046" s="297" t="s">
        <v>15113</v>
      </c>
      <c r="J1046" s="297" t="s">
        <v>12830</v>
      </c>
      <c r="K1046" s="298" t="s">
        <v>15855</v>
      </c>
      <c r="L1046" s="298" t="s">
        <v>15855</v>
      </c>
      <c r="M1046" s="298" t="s">
        <v>15869</v>
      </c>
      <c r="N1046" s="298" t="s">
        <v>15862</v>
      </c>
      <c r="O1046" s="298" t="s">
        <v>16619</v>
      </c>
      <c r="P1046" s="299" t="s">
        <v>15857</v>
      </c>
      <c r="Q1046" s="300" t="s">
        <v>15855</v>
      </c>
      <c r="R1046" s="182" t="str">
        <f ca="1">IF(ISERROR($V1046),"",OFFSET('Smelter Look-up'!$C$4,$V1046-4,0)&amp;"")</f>
        <v>PT Bangka Serumpun</v>
      </c>
      <c r="S1046" s="181" t="str">
        <f t="shared" ca="1" si="146"/>
        <v>ID</v>
      </c>
      <c r="T1046" s="181" t="str">
        <f ca="1">IF(B1046="","",IF(ISERROR(MATCH($J1046,SorP!$B$1:$B$6226,0)),"",INDIRECT("'SorP'!$A$"&amp;MATCH($S1046&amp;$J1046,SorP!C:C,0))))</f>
        <v>ID-BB</v>
      </c>
      <c r="U1046" s="201"/>
      <c r="V1046" s="226">
        <f>IF(C1046="",NA(),IF(OR(C1046="Smelter not listed",C1046="Smelter not yet identified"),MATCH($B1046&amp;$D1046,'Smelter Look-up'!$J:$J,0),MATCH($B1046&amp;$C1046,'Smelter Look-up'!$J:$J,0)))</f>
        <v>509</v>
      </c>
      <c r="X1046" s="227">
        <f t="shared" si="147"/>
        <v>0</v>
      </c>
      <c r="AB1046" s="228" t="str">
        <f t="shared" si="148"/>
        <v>TinPT Bangka Serumpun</v>
      </c>
    </row>
    <row r="1047" spans="1:28" s="227" customFormat="1" ht="54">
      <c r="A1047" s="301" t="s">
        <v>14001</v>
      </c>
      <c r="B1047" s="293" t="s">
        <v>1120</v>
      </c>
      <c r="C1047" s="294" t="s">
        <v>12914</v>
      </c>
      <c r="D1047" s="295" t="s">
        <v>12914</v>
      </c>
      <c r="E1047" s="293" t="s">
        <v>1095</v>
      </c>
      <c r="F1047" s="293" t="s">
        <v>14001</v>
      </c>
      <c r="G1047" s="293" t="s">
        <v>13217</v>
      </c>
      <c r="H1047" s="302" t="s">
        <v>15880</v>
      </c>
      <c r="I1047" s="297" t="s">
        <v>15113</v>
      </c>
      <c r="J1047" s="297" t="s">
        <v>12830</v>
      </c>
      <c r="K1047" s="298" t="s">
        <v>15855</v>
      </c>
      <c r="L1047" s="298" t="s">
        <v>15855</v>
      </c>
      <c r="M1047" s="298" t="s">
        <v>15855</v>
      </c>
      <c r="N1047" s="298" t="s">
        <v>15855</v>
      </c>
      <c r="O1047" s="298" t="s">
        <v>15855</v>
      </c>
      <c r="P1047" s="299" t="s">
        <v>15857</v>
      </c>
      <c r="Q1047" s="300" t="s">
        <v>15855</v>
      </c>
      <c r="R1047" s="182" t="str">
        <f ca="1">IF(ISERROR($V1047),"",OFFSET('Smelter Look-up'!$C$4,$V1047-4,0)&amp;"")</f>
        <v>PT Bangka Serumpun</v>
      </c>
      <c r="S1047" s="181" t="str">
        <f t="shared" ca="1" si="146"/>
        <v>ID</v>
      </c>
      <c r="T1047" s="181" t="str">
        <f ca="1">IF(B1047="","",IF(ISERROR(MATCH($J1047,SorP!$B$1:$B$6226,0)),"",INDIRECT("'SorP'!$A$"&amp;MATCH($S1047&amp;$J1047,SorP!C:C,0))))</f>
        <v>ID-BB</v>
      </c>
      <c r="U1047" s="201"/>
      <c r="V1047" s="226">
        <f>IF(C1047="",NA(),IF(OR(C1047="Smelter not listed",C1047="Smelter not yet identified"),MATCH($B1047&amp;$D1047,'Smelter Look-up'!$J:$J,0),MATCH($B1047&amp;$C1047,'Smelter Look-up'!$J:$J,0)))</f>
        <v>509</v>
      </c>
      <c r="X1047" s="227">
        <f t="shared" si="147"/>
        <v>0</v>
      </c>
      <c r="AB1047" s="228" t="str">
        <f t="shared" si="148"/>
        <v>TinPT Bangka Serumpun</v>
      </c>
    </row>
    <row r="1048" spans="1:28" s="227" customFormat="1" ht="54">
      <c r="A1048" s="301" t="s">
        <v>14001</v>
      </c>
      <c r="B1048" s="293" t="s">
        <v>1120</v>
      </c>
      <c r="C1048" s="294" t="s">
        <v>12914</v>
      </c>
      <c r="D1048" s="295" t="s">
        <v>12914</v>
      </c>
      <c r="E1048" s="293" t="s">
        <v>1095</v>
      </c>
      <c r="F1048" s="293" t="s">
        <v>14001</v>
      </c>
      <c r="G1048" s="293" t="s">
        <v>13217</v>
      </c>
      <c r="H1048" s="302" t="s">
        <v>15880</v>
      </c>
      <c r="I1048" s="297" t="s">
        <v>15113</v>
      </c>
      <c r="J1048" s="297" t="s">
        <v>12830</v>
      </c>
      <c r="K1048" s="298" t="s">
        <v>15855</v>
      </c>
      <c r="L1048" s="298" t="s">
        <v>15855</v>
      </c>
      <c r="M1048" s="298" t="s">
        <v>15855</v>
      </c>
      <c r="N1048" s="298" t="s">
        <v>12914</v>
      </c>
      <c r="O1048" s="298" t="s">
        <v>16753</v>
      </c>
      <c r="P1048" s="299" t="s">
        <v>15857</v>
      </c>
      <c r="Q1048" s="300" t="s">
        <v>15855</v>
      </c>
      <c r="R1048" s="182" t="str">
        <f ca="1">IF(ISERROR($V1048),"",OFFSET('Smelter Look-up'!$C$4,$V1048-4,0)&amp;"")</f>
        <v>PT Bangka Serumpun</v>
      </c>
      <c r="S1048" s="181" t="str">
        <f t="shared" ca="1" si="146"/>
        <v>ID</v>
      </c>
      <c r="T1048" s="181" t="str">
        <f ca="1">IF(B1048="","",IF(ISERROR(MATCH($J1048,SorP!$B$1:$B$6226,0)),"",INDIRECT("'SorP'!$A$"&amp;MATCH($S1048&amp;$J1048,SorP!C:C,0))))</f>
        <v>ID-BB</v>
      </c>
      <c r="U1048" s="201"/>
      <c r="V1048" s="226">
        <f>IF(C1048="",NA(),IF(OR(C1048="Smelter not listed",C1048="Smelter not yet identified"),MATCH($B1048&amp;$D1048,'Smelter Look-up'!$J:$J,0),MATCH($B1048&amp;$C1048,'Smelter Look-up'!$J:$J,0)))</f>
        <v>509</v>
      </c>
      <c r="X1048" s="227">
        <f t="shared" si="147"/>
        <v>0</v>
      </c>
      <c r="AB1048" s="228" t="str">
        <f t="shared" si="148"/>
        <v>TinPT Bangka Serumpun</v>
      </c>
    </row>
    <row r="1049" spans="1:28" s="227" customFormat="1" ht="54">
      <c r="A1049" s="301" t="s">
        <v>15509</v>
      </c>
      <c r="B1049" s="293" t="s">
        <v>1120</v>
      </c>
      <c r="C1049" s="294" t="s">
        <v>15508</v>
      </c>
      <c r="D1049" s="295" t="s">
        <v>15508</v>
      </c>
      <c r="E1049" s="293" t="s">
        <v>1095</v>
      </c>
      <c r="F1049" s="293" t="s">
        <v>15509</v>
      </c>
      <c r="G1049" s="293" t="s">
        <v>15865</v>
      </c>
      <c r="H1049" s="296" t="s">
        <v>15855</v>
      </c>
      <c r="I1049" s="297" t="s">
        <v>1753</v>
      </c>
      <c r="J1049" s="297" t="s">
        <v>16738</v>
      </c>
      <c r="K1049" s="298" t="s">
        <v>15855</v>
      </c>
      <c r="L1049" s="298" t="s">
        <v>15855</v>
      </c>
      <c r="M1049" s="298" t="s">
        <v>15855</v>
      </c>
      <c r="N1049" s="298" t="s">
        <v>15855</v>
      </c>
      <c r="O1049" s="298" t="s">
        <v>15855</v>
      </c>
      <c r="P1049" s="299" t="s">
        <v>15857</v>
      </c>
      <c r="Q1049" s="300" t="s">
        <v>15855</v>
      </c>
      <c r="R1049" s="182" t="str">
        <f ca="1">IF(ISERROR($V1049),"",OFFSET('Smelter Look-up'!$C$4,$V1049-4,0)&amp;"")</f>
        <v>PT Bangka Tin Industry</v>
      </c>
      <c r="S1049" s="181" t="str">
        <f t="shared" ca="1" si="146"/>
        <v>ID</v>
      </c>
      <c r="T1049" s="181" t="str">
        <f ca="1">IF(B1049="","",IF(ISERROR(MATCH($J1049,SorP!$B$1:$B$6226,0)),"",INDIRECT("'SorP'!$A$"&amp;MATCH($S1049&amp;$J1049,SorP!C:C,0))))</f>
        <v/>
      </c>
      <c r="U1049" s="201"/>
      <c r="V1049" s="226">
        <f>IF(C1049="",NA(),IF(OR(C1049="Smelter not listed",C1049="Smelter not yet identified"),MATCH($B1049&amp;$D1049,'Smelter Look-up'!$J:$J,0),MATCH($B1049&amp;$C1049,'Smelter Look-up'!$J:$J,0)))</f>
        <v>510</v>
      </c>
      <c r="X1049" s="227">
        <f t="shared" si="147"/>
        <v>0</v>
      </c>
      <c r="AB1049" s="228" t="str">
        <f t="shared" si="148"/>
        <v>TinPT Bangka Tin Industry</v>
      </c>
    </row>
    <row r="1050" spans="1:28" s="227" customFormat="1" ht="54">
      <c r="A1050" s="301" t="s">
        <v>15509</v>
      </c>
      <c r="B1050" s="293" t="s">
        <v>1120</v>
      </c>
      <c r="C1050" s="294" t="s">
        <v>15508</v>
      </c>
      <c r="D1050" s="295" t="s">
        <v>15508</v>
      </c>
      <c r="E1050" s="293" t="s">
        <v>1095</v>
      </c>
      <c r="F1050" s="293" t="s">
        <v>15509</v>
      </c>
      <c r="G1050" s="293" t="s">
        <v>15865</v>
      </c>
      <c r="H1050" s="296" t="s">
        <v>15855</v>
      </c>
      <c r="I1050" s="297" t="s">
        <v>1753</v>
      </c>
      <c r="J1050" s="297" t="s">
        <v>16738</v>
      </c>
      <c r="K1050" s="298" t="s">
        <v>15855</v>
      </c>
      <c r="L1050" s="298" t="s">
        <v>15855</v>
      </c>
      <c r="M1050" s="298" t="s">
        <v>15509</v>
      </c>
      <c r="N1050" s="298" t="s">
        <v>15855</v>
      </c>
      <c r="O1050" s="298" t="s">
        <v>15855</v>
      </c>
      <c r="P1050" s="299" t="s">
        <v>15857</v>
      </c>
      <c r="Q1050" s="300" t="s">
        <v>15855</v>
      </c>
      <c r="R1050" s="182" t="str">
        <f ca="1">IF(ISERROR($V1050),"",OFFSET('Smelter Look-up'!$C$4,$V1050-4,0)&amp;"")</f>
        <v>PT Bangka Tin Industry</v>
      </c>
      <c r="S1050" s="181" t="str">
        <f t="shared" ca="1" si="146"/>
        <v>ID</v>
      </c>
      <c r="T1050" s="181" t="str">
        <f ca="1">IF(B1050="","",IF(ISERROR(MATCH($J1050,SorP!$B$1:$B$6226,0)),"",INDIRECT("'SorP'!$A$"&amp;MATCH($S1050&amp;$J1050,SorP!C:C,0))))</f>
        <v/>
      </c>
      <c r="U1050" s="201"/>
      <c r="V1050" s="226">
        <f>IF(C1050="",NA(),IF(OR(C1050="Smelter not listed",C1050="Smelter not yet identified"),MATCH($B1050&amp;$D1050,'Smelter Look-up'!$J:$J,0),MATCH($B1050&amp;$C1050,'Smelter Look-up'!$J:$J,0)))</f>
        <v>510</v>
      </c>
      <c r="X1050" s="227">
        <f t="shared" si="147"/>
        <v>0</v>
      </c>
      <c r="AB1050" s="228" t="str">
        <f t="shared" si="148"/>
        <v>TinPT Bangka Tin Industry</v>
      </c>
    </row>
    <row r="1051" spans="1:28" s="227" customFormat="1" ht="54">
      <c r="A1051" s="301" t="s">
        <v>15509</v>
      </c>
      <c r="B1051" s="293" t="s">
        <v>1120</v>
      </c>
      <c r="C1051" s="294" t="s">
        <v>15508</v>
      </c>
      <c r="D1051" s="295" t="s">
        <v>15508</v>
      </c>
      <c r="E1051" s="293" t="s">
        <v>1095</v>
      </c>
      <c r="F1051" s="293" t="s">
        <v>15509</v>
      </c>
      <c r="G1051" s="293" t="s">
        <v>15865</v>
      </c>
      <c r="H1051" s="296" t="s">
        <v>15855</v>
      </c>
      <c r="I1051" s="297" t="s">
        <v>1753</v>
      </c>
      <c r="J1051" s="297" t="s">
        <v>16738</v>
      </c>
      <c r="K1051" s="298" t="s">
        <v>16754</v>
      </c>
      <c r="L1051" s="298" t="s">
        <v>16755</v>
      </c>
      <c r="M1051" s="298" t="s">
        <v>15855</v>
      </c>
      <c r="N1051" s="298" t="s">
        <v>16756</v>
      </c>
      <c r="O1051" s="298" t="s">
        <v>1095</v>
      </c>
      <c r="P1051" s="299" t="s">
        <v>15857</v>
      </c>
      <c r="Q1051" s="300" t="s">
        <v>15855</v>
      </c>
      <c r="R1051" s="182" t="str">
        <f ca="1">IF(ISERROR($V1051),"",OFFSET('Smelter Look-up'!$C$4,$V1051-4,0)&amp;"")</f>
        <v>PT Bangka Tin Industry</v>
      </c>
      <c r="S1051" s="181" t="str">
        <f t="shared" ca="1" si="146"/>
        <v>ID</v>
      </c>
      <c r="T1051" s="181" t="str">
        <f ca="1">IF(B1051="","",IF(ISERROR(MATCH($J1051,SorP!$B$1:$B$6226,0)),"",INDIRECT("'SorP'!$A$"&amp;MATCH($S1051&amp;$J1051,SorP!C:C,0))))</f>
        <v/>
      </c>
      <c r="U1051" s="201"/>
      <c r="V1051" s="226">
        <f>IF(C1051="",NA(),IF(OR(C1051="Smelter not listed",C1051="Smelter not yet identified"),MATCH($B1051&amp;$D1051,'Smelter Look-up'!$J:$J,0),MATCH($B1051&amp;$C1051,'Smelter Look-up'!$J:$J,0)))</f>
        <v>510</v>
      </c>
      <c r="X1051" s="227">
        <f t="shared" si="147"/>
        <v>0</v>
      </c>
      <c r="AB1051" s="228" t="str">
        <f t="shared" si="148"/>
        <v>TinPT Bangka Tin Industry</v>
      </c>
    </row>
    <row r="1052" spans="1:28" s="227" customFormat="1" ht="54">
      <c r="A1052" s="301" t="s">
        <v>15509</v>
      </c>
      <c r="B1052" s="293" t="s">
        <v>1120</v>
      </c>
      <c r="C1052" s="294" t="s">
        <v>15508</v>
      </c>
      <c r="D1052" s="295" t="s">
        <v>15508</v>
      </c>
      <c r="E1052" s="293" t="s">
        <v>1095</v>
      </c>
      <c r="F1052" s="293" t="s">
        <v>15509</v>
      </c>
      <c r="G1052" s="293" t="s">
        <v>13217</v>
      </c>
      <c r="H1052" s="296" t="s">
        <v>15855</v>
      </c>
      <c r="I1052" s="297" t="s">
        <v>15831</v>
      </c>
      <c r="J1052" s="297" t="s">
        <v>12830</v>
      </c>
      <c r="K1052" s="298" t="s">
        <v>15855</v>
      </c>
      <c r="L1052" s="298" t="s">
        <v>15855</v>
      </c>
      <c r="M1052" s="298" t="s">
        <v>15855</v>
      </c>
      <c r="N1052" s="298" t="s">
        <v>15855</v>
      </c>
      <c r="O1052" s="298" t="s">
        <v>15858</v>
      </c>
      <c r="P1052" s="299" t="s">
        <v>15857</v>
      </c>
      <c r="Q1052" s="300" t="s">
        <v>15855</v>
      </c>
      <c r="R1052" s="182" t="str">
        <f ca="1">IF(ISERROR($V1052),"",OFFSET('Smelter Look-up'!$C$4,$V1052-4,0)&amp;"")</f>
        <v>PT Bangka Tin Industry</v>
      </c>
      <c r="S1052" s="181" t="str">
        <f t="shared" ref="S1052:S1082" ca="1" si="149">IF(B1052="","",IF(ISERROR(MATCH($E1052,CL,0)),"Unknown",INDIRECT("'C'!$A$"&amp;MATCH($E1052,CL,0)+1)))</f>
        <v>ID</v>
      </c>
      <c r="T1052" s="181" t="str">
        <f ca="1">IF(B1052="","",IF(ISERROR(MATCH($J1052,SorP!$B$1:$B$6226,0)),"",INDIRECT("'SorP'!$A$"&amp;MATCH($S1052&amp;$J1052,SorP!C:C,0))))</f>
        <v>ID-BB</v>
      </c>
      <c r="U1052" s="201"/>
      <c r="V1052" s="226">
        <f>IF(C1052="",NA(),IF(OR(C1052="Smelter not listed",C1052="Smelter not yet identified"),MATCH($B1052&amp;$D1052,'Smelter Look-up'!$J:$J,0),MATCH($B1052&amp;$C1052,'Smelter Look-up'!$J:$J,0)))</f>
        <v>510</v>
      </c>
      <c r="X1052" s="227">
        <f t="shared" ref="X1052:X1082" si="150">IF(AND(C1052="Smelter not listed",OR(LEN(D1052)=0,LEN(E1052)=0)),1,0)</f>
        <v>0</v>
      </c>
      <c r="AB1052" s="228" t="str">
        <f t="shared" ref="AB1052:AB1082" si="151">B1052&amp;C1052</f>
        <v>TinPT Bangka Tin Industry</v>
      </c>
    </row>
    <row r="1053" spans="1:28" s="227" customFormat="1" ht="54">
      <c r="A1053" s="301" t="s">
        <v>15509</v>
      </c>
      <c r="B1053" s="293" t="s">
        <v>1120</v>
      </c>
      <c r="C1053" s="294" t="s">
        <v>15508</v>
      </c>
      <c r="D1053" s="295" t="s">
        <v>15508</v>
      </c>
      <c r="E1053" s="293" t="s">
        <v>1095</v>
      </c>
      <c r="F1053" s="293" t="s">
        <v>15509</v>
      </c>
      <c r="G1053" s="293" t="s">
        <v>13217</v>
      </c>
      <c r="H1053" s="296" t="s">
        <v>15855</v>
      </c>
      <c r="I1053" s="297" t="s">
        <v>1753</v>
      </c>
      <c r="J1053" s="297" t="s">
        <v>12830</v>
      </c>
      <c r="K1053" s="298" t="s">
        <v>15855</v>
      </c>
      <c r="L1053" s="298" t="s">
        <v>15855</v>
      </c>
      <c r="M1053" s="298" t="s">
        <v>15855</v>
      </c>
      <c r="N1053" s="298" t="s">
        <v>15855</v>
      </c>
      <c r="O1053" s="298" t="s">
        <v>15855</v>
      </c>
      <c r="P1053" s="299" t="s">
        <v>15857</v>
      </c>
      <c r="Q1053" s="300" t="s">
        <v>15855</v>
      </c>
      <c r="R1053" s="182" t="str">
        <f ca="1">IF(ISERROR($V1053),"",OFFSET('Smelter Look-up'!$C$4,$V1053-4,0)&amp;"")</f>
        <v>PT Bangka Tin Industry</v>
      </c>
      <c r="S1053" s="181" t="str">
        <f t="shared" ca="1" si="149"/>
        <v>ID</v>
      </c>
      <c r="T1053" s="181" t="str">
        <f ca="1">IF(B1053="","",IF(ISERROR(MATCH($J1053,SorP!$B$1:$B$6226,0)),"",INDIRECT("'SorP'!$A$"&amp;MATCH($S1053&amp;$J1053,SorP!C:C,0))))</f>
        <v>ID-BB</v>
      </c>
      <c r="U1053" s="201"/>
      <c r="V1053" s="226">
        <f>IF(C1053="",NA(),IF(OR(C1053="Smelter not listed",C1053="Smelter not yet identified"),MATCH($B1053&amp;$D1053,'Smelter Look-up'!$J:$J,0),MATCH($B1053&amp;$C1053,'Smelter Look-up'!$J:$J,0)))</f>
        <v>510</v>
      </c>
      <c r="X1053" s="227">
        <f t="shared" si="150"/>
        <v>0</v>
      </c>
      <c r="AB1053" s="228" t="str">
        <f t="shared" si="151"/>
        <v>TinPT Bangka Tin Industry</v>
      </c>
    </row>
    <row r="1054" spans="1:28" s="227" customFormat="1" ht="54">
      <c r="A1054" s="301" t="s">
        <v>15509</v>
      </c>
      <c r="B1054" s="293" t="s">
        <v>1120</v>
      </c>
      <c r="C1054" s="294" t="s">
        <v>15508</v>
      </c>
      <c r="D1054" s="295" t="s">
        <v>15508</v>
      </c>
      <c r="E1054" s="293" t="s">
        <v>1095</v>
      </c>
      <c r="F1054" s="293" t="s">
        <v>15509</v>
      </c>
      <c r="G1054" s="293" t="s">
        <v>13217</v>
      </c>
      <c r="H1054" s="296" t="s">
        <v>15855</v>
      </c>
      <c r="I1054" s="297" t="s">
        <v>1753</v>
      </c>
      <c r="J1054" s="297" t="s">
        <v>12830</v>
      </c>
      <c r="K1054" s="298" t="s">
        <v>15855</v>
      </c>
      <c r="L1054" s="298" t="s">
        <v>15855</v>
      </c>
      <c r="M1054" s="298" t="s">
        <v>15855</v>
      </c>
      <c r="N1054" s="298" t="s">
        <v>15855</v>
      </c>
      <c r="O1054" s="298" t="s">
        <v>15855</v>
      </c>
      <c r="P1054" s="299" t="s">
        <v>15857</v>
      </c>
      <c r="Q1054" s="300" t="s">
        <v>16531</v>
      </c>
      <c r="R1054" s="182" t="str">
        <f ca="1">IF(ISERROR($V1054),"",OFFSET('Smelter Look-up'!$C$4,$V1054-4,0)&amp;"")</f>
        <v>PT Bangka Tin Industry</v>
      </c>
      <c r="S1054" s="181" t="str">
        <f t="shared" ca="1" si="149"/>
        <v>ID</v>
      </c>
      <c r="T1054" s="181" t="str">
        <f ca="1">IF(B1054="","",IF(ISERROR(MATCH($J1054,SorP!$B$1:$B$6226,0)),"",INDIRECT("'SorP'!$A$"&amp;MATCH($S1054&amp;$J1054,SorP!C:C,0))))</f>
        <v>ID-BB</v>
      </c>
      <c r="U1054" s="201"/>
      <c r="V1054" s="226">
        <f>IF(C1054="",NA(),IF(OR(C1054="Smelter not listed",C1054="Smelter not yet identified"),MATCH($B1054&amp;$D1054,'Smelter Look-up'!$J:$J,0),MATCH($B1054&amp;$C1054,'Smelter Look-up'!$J:$J,0)))</f>
        <v>510</v>
      </c>
      <c r="X1054" s="227">
        <f t="shared" si="150"/>
        <v>0</v>
      </c>
      <c r="AB1054" s="228" t="str">
        <f t="shared" si="151"/>
        <v>TinPT Bangka Tin Industry</v>
      </c>
    </row>
    <row r="1055" spans="1:28" s="227" customFormat="1" ht="54">
      <c r="A1055" s="301" t="s">
        <v>15509</v>
      </c>
      <c r="B1055" s="293" t="s">
        <v>1120</v>
      </c>
      <c r="C1055" s="294" t="s">
        <v>15508</v>
      </c>
      <c r="D1055" s="295" t="s">
        <v>15508</v>
      </c>
      <c r="E1055" s="293" t="s">
        <v>1095</v>
      </c>
      <c r="F1055" s="293" t="s">
        <v>15509</v>
      </c>
      <c r="G1055" s="293" t="s">
        <v>13217</v>
      </c>
      <c r="H1055" s="302" t="s">
        <v>15880</v>
      </c>
      <c r="I1055" s="297" t="s">
        <v>1753</v>
      </c>
      <c r="J1055" s="297" t="s">
        <v>12830</v>
      </c>
      <c r="K1055" s="298" t="s">
        <v>15855</v>
      </c>
      <c r="L1055" s="298" t="s">
        <v>15855</v>
      </c>
      <c r="M1055" s="298" t="s">
        <v>15855</v>
      </c>
      <c r="N1055" s="298" t="s">
        <v>15855</v>
      </c>
      <c r="O1055" s="298" t="s">
        <v>15855</v>
      </c>
      <c r="P1055" s="299" t="s">
        <v>15857</v>
      </c>
      <c r="Q1055" s="300" t="s">
        <v>15855</v>
      </c>
      <c r="R1055" s="182" t="str">
        <f ca="1">IF(ISERROR($V1055),"",OFFSET('Smelter Look-up'!$C$4,$V1055-4,0)&amp;"")</f>
        <v>PT Bangka Tin Industry</v>
      </c>
      <c r="S1055" s="181" t="str">
        <f t="shared" ca="1" si="149"/>
        <v>ID</v>
      </c>
      <c r="T1055" s="181" t="str">
        <f ca="1">IF(B1055="","",IF(ISERROR(MATCH($J1055,SorP!$B$1:$B$6226,0)),"",INDIRECT("'SorP'!$A$"&amp;MATCH($S1055&amp;$J1055,SorP!C:C,0))))</f>
        <v>ID-BB</v>
      </c>
      <c r="U1055" s="201"/>
      <c r="V1055" s="226">
        <f>IF(C1055="",NA(),IF(OR(C1055="Smelter not listed",C1055="Smelter not yet identified"),MATCH($B1055&amp;$D1055,'Smelter Look-up'!$J:$J,0),MATCH($B1055&amp;$C1055,'Smelter Look-up'!$J:$J,0)))</f>
        <v>510</v>
      </c>
      <c r="X1055" s="227">
        <f t="shared" si="150"/>
        <v>0</v>
      </c>
      <c r="AB1055" s="228" t="str">
        <f t="shared" si="151"/>
        <v>TinPT Bangka Tin Industry</v>
      </c>
    </row>
    <row r="1056" spans="1:28" s="227" customFormat="1" ht="67.5">
      <c r="A1056" s="301" t="s">
        <v>15446</v>
      </c>
      <c r="B1056" s="293" t="s">
        <v>1120</v>
      </c>
      <c r="C1056" s="294" t="s">
        <v>15445</v>
      </c>
      <c r="D1056" s="295" t="s">
        <v>15445</v>
      </c>
      <c r="E1056" s="293" t="s">
        <v>1095</v>
      </c>
      <c r="F1056" s="293" t="s">
        <v>15446</v>
      </c>
      <c r="G1056" s="293" t="s">
        <v>13217</v>
      </c>
      <c r="H1056" s="296" t="s">
        <v>15855</v>
      </c>
      <c r="I1056" s="297" t="s">
        <v>15513</v>
      </c>
      <c r="J1056" s="297" t="s">
        <v>12830</v>
      </c>
      <c r="K1056" s="298" t="s">
        <v>15855</v>
      </c>
      <c r="L1056" s="298" t="s">
        <v>15855</v>
      </c>
      <c r="M1056" s="298" t="s">
        <v>15855</v>
      </c>
      <c r="N1056" s="298" t="s">
        <v>15855</v>
      </c>
      <c r="O1056" s="298" t="s">
        <v>15858</v>
      </c>
      <c r="P1056" s="299" t="s">
        <v>15857</v>
      </c>
      <c r="Q1056" s="300" t="s">
        <v>15855</v>
      </c>
      <c r="R1056" s="182" t="str">
        <f ca="1">IF(ISERROR($V1056),"",OFFSET('Smelter Look-up'!$C$4,$V1056-4,0)&amp;"")</f>
        <v>PT Belitung Industri Sejahtera</v>
      </c>
      <c r="S1056" s="181" t="str">
        <f t="shared" ca="1" si="149"/>
        <v>ID</v>
      </c>
      <c r="T1056" s="181" t="str">
        <f ca="1">IF(B1056="","",IF(ISERROR(MATCH($J1056,SorP!$B$1:$B$6226,0)),"",INDIRECT("'SorP'!$A$"&amp;MATCH($S1056&amp;$J1056,SorP!C:C,0))))</f>
        <v>ID-BB</v>
      </c>
      <c r="U1056" s="201"/>
      <c r="V1056" s="226">
        <f>IF(C1056="",NA(),IF(OR(C1056="Smelter not listed",C1056="Smelter not yet identified"),MATCH($B1056&amp;$D1056,'Smelter Look-up'!$J:$J,0),MATCH($B1056&amp;$C1056,'Smelter Look-up'!$J:$J,0)))</f>
        <v>511</v>
      </c>
      <c r="X1056" s="227">
        <f t="shared" si="150"/>
        <v>0</v>
      </c>
      <c r="AB1056" s="228" t="str">
        <f t="shared" si="151"/>
        <v>TinPT Belitung Industri Sejahtera</v>
      </c>
    </row>
    <row r="1057" spans="1:28" s="227" customFormat="1" ht="67.5">
      <c r="A1057" s="301" t="s">
        <v>15446</v>
      </c>
      <c r="B1057" s="293" t="s">
        <v>1120</v>
      </c>
      <c r="C1057" s="294" t="s">
        <v>15445</v>
      </c>
      <c r="D1057" s="295" t="s">
        <v>15445</v>
      </c>
      <c r="E1057" s="293" t="s">
        <v>1095</v>
      </c>
      <c r="F1057" s="293" t="s">
        <v>15446</v>
      </c>
      <c r="G1057" s="293" t="s">
        <v>13217</v>
      </c>
      <c r="H1057" s="296" t="s">
        <v>15855</v>
      </c>
      <c r="I1057" s="297" t="s">
        <v>16757</v>
      </c>
      <c r="J1057" s="297" t="s">
        <v>12830</v>
      </c>
      <c r="K1057" s="298" t="s">
        <v>15855</v>
      </c>
      <c r="L1057" s="298" t="s">
        <v>15855</v>
      </c>
      <c r="M1057" s="298" t="s">
        <v>15855</v>
      </c>
      <c r="N1057" s="298" t="s">
        <v>15855</v>
      </c>
      <c r="O1057" s="298" t="s">
        <v>15855</v>
      </c>
      <c r="P1057" s="299" t="s">
        <v>15857</v>
      </c>
      <c r="Q1057" s="300" t="s">
        <v>16531</v>
      </c>
      <c r="R1057" s="182" t="str">
        <f ca="1">IF(ISERROR($V1057),"",OFFSET('Smelter Look-up'!$C$4,$V1057-4,0)&amp;"")</f>
        <v>PT Belitung Industri Sejahtera</v>
      </c>
      <c r="S1057" s="181" t="str">
        <f t="shared" ca="1" si="149"/>
        <v>ID</v>
      </c>
      <c r="T1057" s="181" t="str">
        <f ca="1">IF(B1057="","",IF(ISERROR(MATCH($J1057,SorP!$B$1:$B$6226,0)),"",INDIRECT("'SorP'!$A$"&amp;MATCH($S1057&amp;$J1057,SorP!C:C,0))))</f>
        <v>ID-BB</v>
      </c>
      <c r="U1057" s="201"/>
      <c r="V1057" s="226">
        <f>IF(C1057="",NA(),IF(OR(C1057="Smelter not listed",C1057="Smelter not yet identified"),MATCH($B1057&amp;$D1057,'Smelter Look-up'!$J:$J,0),MATCH($B1057&amp;$C1057,'Smelter Look-up'!$J:$J,0)))</f>
        <v>511</v>
      </c>
      <c r="X1057" s="227">
        <f t="shared" si="150"/>
        <v>0</v>
      </c>
      <c r="AB1057" s="228" t="str">
        <f t="shared" si="151"/>
        <v>TinPT Belitung Industri Sejahtera</v>
      </c>
    </row>
    <row r="1058" spans="1:28" s="227" customFormat="1" ht="67.5">
      <c r="A1058" s="301" t="s">
        <v>15446</v>
      </c>
      <c r="B1058" s="293" t="s">
        <v>1120</v>
      </c>
      <c r="C1058" s="294" t="s">
        <v>15445</v>
      </c>
      <c r="D1058" s="295" t="s">
        <v>15445</v>
      </c>
      <c r="E1058" s="293" t="s">
        <v>1095</v>
      </c>
      <c r="F1058" s="293" t="s">
        <v>15446</v>
      </c>
      <c r="G1058" s="293" t="s">
        <v>13217</v>
      </c>
      <c r="H1058" s="302" t="s">
        <v>15880</v>
      </c>
      <c r="I1058" s="297" t="s">
        <v>16757</v>
      </c>
      <c r="J1058" s="297" t="s">
        <v>12830</v>
      </c>
      <c r="K1058" s="298" t="s">
        <v>15855</v>
      </c>
      <c r="L1058" s="298" t="s">
        <v>15855</v>
      </c>
      <c r="M1058" s="298" t="s">
        <v>15855</v>
      </c>
      <c r="N1058" s="298" t="s">
        <v>15855</v>
      </c>
      <c r="O1058" s="298" t="s">
        <v>15855</v>
      </c>
      <c r="P1058" s="299" t="s">
        <v>15857</v>
      </c>
      <c r="Q1058" s="300" t="s">
        <v>15855</v>
      </c>
      <c r="R1058" s="182" t="str">
        <f ca="1">IF(ISERROR($V1058),"",OFFSET('Smelter Look-up'!$C$4,$V1058-4,0)&amp;"")</f>
        <v>PT Belitung Industri Sejahtera</v>
      </c>
      <c r="S1058" s="181" t="str">
        <f t="shared" ca="1" si="149"/>
        <v>ID</v>
      </c>
      <c r="T1058" s="181" t="str">
        <f ca="1">IF(B1058="","",IF(ISERROR(MATCH($J1058,SorP!$B$1:$B$6226,0)),"",INDIRECT("'SorP'!$A$"&amp;MATCH($S1058&amp;$J1058,SorP!C:C,0))))</f>
        <v>ID-BB</v>
      </c>
      <c r="U1058" s="201"/>
      <c r="V1058" s="226">
        <f>IF(C1058="",NA(),IF(OR(C1058="Smelter not listed",C1058="Smelter not yet identified"),MATCH($B1058&amp;$D1058,'Smelter Look-up'!$J:$J,0),MATCH($B1058&amp;$C1058,'Smelter Look-up'!$J:$J,0)))</f>
        <v>511</v>
      </c>
      <c r="X1058" s="227">
        <f t="shared" si="150"/>
        <v>0</v>
      </c>
      <c r="AB1058" s="228" t="str">
        <f t="shared" si="151"/>
        <v>TinPT Belitung Industri Sejahtera</v>
      </c>
    </row>
    <row r="1059" spans="1:28" s="227" customFormat="1" ht="40.5">
      <c r="A1059" s="301" t="s">
        <v>15435</v>
      </c>
      <c r="B1059" s="293" t="s">
        <v>1120</v>
      </c>
      <c r="C1059" s="294" t="s">
        <v>15434</v>
      </c>
      <c r="D1059" s="295" t="s">
        <v>15434</v>
      </c>
      <c r="E1059" s="293" t="s">
        <v>1095</v>
      </c>
      <c r="F1059" s="293" t="s">
        <v>15435</v>
      </c>
      <c r="G1059" s="293" t="s">
        <v>15865</v>
      </c>
      <c r="H1059" s="296" t="s">
        <v>15855</v>
      </c>
      <c r="I1059" s="297" t="s">
        <v>15109</v>
      </c>
      <c r="J1059" s="297" t="s">
        <v>16738</v>
      </c>
      <c r="K1059" s="298" t="s">
        <v>15855</v>
      </c>
      <c r="L1059" s="298" t="s">
        <v>15855</v>
      </c>
      <c r="M1059" s="298" t="s">
        <v>15855</v>
      </c>
      <c r="N1059" s="298" t="s">
        <v>15855</v>
      </c>
      <c r="O1059" s="298" t="s">
        <v>15855</v>
      </c>
      <c r="P1059" s="299" t="s">
        <v>15857</v>
      </c>
      <c r="Q1059" s="300" t="s">
        <v>15855</v>
      </c>
      <c r="R1059" s="182" t="str">
        <f ca="1">IF(ISERROR($V1059),"",OFFSET('Smelter Look-up'!$C$4,$V1059-4,0)&amp;"")</f>
        <v>PT Bukit Timah</v>
      </c>
      <c r="S1059" s="181" t="str">
        <f t="shared" ca="1" si="149"/>
        <v>ID</v>
      </c>
      <c r="T1059" s="181" t="str">
        <f ca="1">IF(B1059="","",IF(ISERROR(MATCH($J1059,SorP!$B$1:$B$6226,0)),"",INDIRECT("'SorP'!$A$"&amp;MATCH($S1059&amp;$J1059,SorP!C:C,0))))</f>
        <v/>
      </c>
      <c r="U1059" s="201"/>
      <c r="V1059" s="226">
        <f>IF(C1059="",NA(),IF(OR(C1059="Smelter not listed",C1059="Smelter not yet identified"),MATCH($B1059&amp;$D1059,'Smelter Look-up'!$J:$J,0),MATCH($B1059&amp;$C1059,'Smelter Look-up'!$J:$J,0)))</f>
        <v>512</v>
      </c>
      <c r="X1059" s="227">
        <f t="shared" si="150"/>
        <v>0</v>
      </c>
      <c r="AB1059" s="228" t="str">
        <f t="shared" si="151"/>
        <v>TinPT Bukit Timah</v>
      </c>
    </row>
    <row r="1060" spans="1:28" s="227" customFormat="1" ht="40.5">
      <c r="A1060" s="301" t="s">
        <v>15435</v>
      </c>
      <c r="B1060" s="293" t="s">
        <v>1120</v>
      </c>
      <c r="C1060" s="294" t="s">
        <v>15434</v>
      </c>
      <c r="D1060" s="295" t="s">
        <v>15434</v>
      </c>
      <c r="E1060" s="293" t="s">
        <v>1095</v>
      </c>
      <c r="F1060" s="293" t="s">
        <v>15435</v>
      </c>
      <c r="G1060" s="293" t="s">
        <v>13217</v>
      </c>
      <c r="H1060" s="296" t="s">
        <v>15855</v>
      </c>
      <c r="I1060" s="297" t="s">
        <v>15109</v>
      </c>
      <c r="J1060" s="297" t="s">
        <v>12830</v>
      </c>
      <c r="K1060" s="298" t="s">
        <v>15855</v>
      </c>
      <c r="L1060" s="298" t="s">
        <v>15855</v>
      </c>
      <c r="M1060" s="298" t="s">
        <v>15855</v>
      </c>
      <c r="N1060" s="298" t="s">
        <v>15855</v>
      </c>
      <c r="O1060" s="298" t="s">
        <v>15855</v>
      </c>
      <c r="P1060" s="299" t="s">
        <v>15857</v>
      </c>
      <c r="Q1060" s="300" t="s">
        <v>15855</v>
      </c>
      <c r="R1060" s="182" t="str">
        <f ca="1">IF(ISERROR($V1060),"",OFFSET('Smelter Look-up'!$C$4,$V1060-4,0)&amp;"")</f>
        <v>PT Bukit Timah</v>
      </c>
      <c r="S1060" s="181" t="str">
        <f t="shared" ca="1" si="149"/>
        <v>ID</v>
      </c>
      <c r="T1060" s="181" t="str">
        <f ca="1">IF(B1060="","",IF(ISERROR(MATCH($J1060,SorP!$B$1:$B$6226,0)),"",INDIRECT("'SorP'!$A$"&amp;MATCH($S1060&amp;$J1060,SorP!C:C,0))))</f>
        <v>ID-BB</v>
      </c>
      <c r="U1060" s="201"/>
      <c r="V1060" s="226">
        <f>IF(C1060="",NA(),IF(OR(C1060="Smelter not listed",C1060="Smelter not yet identified"),MATCH($B1060&amp;$D1060,'Smelter Look-up'!$J:$J,0),MATCH($B1060&amp;$C1060,'Smelter Look-up'!$J:$J,0)))</f>
        <v>512</v>
      </c>
      <c r="X1060" s="227">
        <f t="shared" si="150"/>
        <v>0</v>
      </c>
      <c r="AB1060" s="228" t="str">
        <f t="shared" si="151"/>
        <v>TinPT Bukit Timah</v>
      </c>
    </row>
    <row r="1061" spans="1:28" s="227" customFormat="1" ht="40.5">
      <c r="A1061" s="301" t="s">
        <v>15435</v>
      </c>
      <c r="B1061" s="293" t="s">
        <v>1120</v>
      </c>
      <c r="C1061" s="294" t="s">
        <v>15434</v>
      </c>
      <c r="D1061" s="295" t="s">
        <v>15434</v>
      </c>
      <c r="E1061" s="293" t="s">
        <v>1095</v>
      </c>
      <c r="F1061" s="293" t="s">
        <v>15435</v>
      </c>
      <c r="G1061" s="293" t="s">
        <v>13217</v>
      </c>
      <c r="H1061" s="296" t="s">
        <v>15855</v>
      </c>
      <c r="I1061" s="297" t="s">
        <v>15109</v>
      </c>
      <c r="J1061" s="297" t="s">
        <v>12830</v>
      </c>
      <c r="K1061" s="298" t="s">
        <v>15855</v>
      </c>
      <c r="L1061" s="298" t="s">
        <v>15855</v>
      </c>
      <c r="M1061" s="298" t="s">
        <v>15855</v>
      </c>
      <c r="N1061" s="298" t="s">
        <v>15855</v>
      </c>
      <c r="O1061" s="298" t="s">
        <v>16731</v>
      </c>
      <c r="P1061" s="299" t="s">
        <v>15857</v>
      </c>
      <c r="Q1061" s="300" t="s">
        <v>15855</v>
      </c>
      <c r="R1061" s="182" t="str">
        <f ca="1">IF(ISERROR($V1061),"",OFFSET('Smelter Look-up'!$C$4,$V1061-4,0)&amp;"")</f>
        <v>PT Bukit Timah</v>
      </c>
      <c r="S1061" s="181" t="str">
        <f t="shared" ca="1" si="149"/>
        <v>ID</v>
      </c>
      <c r="T1061" s="181" t="str">
        <f ca="1">IF(B1061="","",IF(ISERROR(MATCH($J1061,SorP!$B$1:$B$6226,0)),"",INDIRECT("'SorP'!$A$"&amp;MATCH($S1061&amp;$J1061,SorP!C:C,0))))</f>
        <v>ID-BB</v>
      </c>
      <c r="U1061" s="201"/>
      <c r="V1061" s="226">
        <f>IF(C1061="",NA(),IF(OR(C1061="Smelter not listed",C1061="Smelter not yet identified"),MATCH($B1061&amp;$D1061,'Smelter Look-up'!$J:$J,0),MATCH($B1061&amp;$C1061,'Smelter Look-up'!$J:$J,0)))</f>
        <v>512</v>
      </c>
      <c r="X1061" s="227">
        <f t="shared" si="150"/>
        <v>0</v>
      </c>
      <c r="AB1061" s="228" t="str">
        <f t="shared" si="151"/>
        <v>TinPT Bukit Timah</v>
      </c>
    </row>
    <row r="1062" spans="1:28" s="227" customFormat="1" ht="40.5">
      <c r="A1062" s="301" t="s">
        <v>15435</v>
      </c>
      <c r="B1062" s="293" t="s">
        <v>1120</v>
      </c>
      <c r="C1062" s="294" t="s">
        <v>15434</v>
      </c>
      <c r="D1062" s="295" t="s">
        <v>15434</v>
      </c>
      <c r="E1062" s="293" t="s">
        <v>1095</v>
      </c>
      <c r="F1062" s="293" t="s">
        <v>15435</v>
      </c>
      <c r="G1062" s="293" t="s">
        <v>13217</v>
      </c>
      <c r="H1062" s="302" t="s">
        <v>15880</v>
      </c>
      <c r="I1062" s="297" t="s">
        <v>15109</v>
      </c>
      <c r="J1062" s="297" t="s">
        <v>12830</v>
      </c>
      <c r="K1062" s="298" t="s">
        <v>15855</v>
      </c>
      <c r="L1062" s="298" t="s">
        <v>15855</v>
      </c>
      <c r="M1062" s="298" t="s">
        <v>15855</v>
      </c>
      <c r="N1062" s="298" t="s">
        <v>15855</v>
      </c>
      <c r="O1062" s="298" t="s">
        <v>15855</v>
      </c>
      <c r="P1062" s="299" t="s">
        <v>15857</v>
      </c>
      <c r="Q1062" s="300" t="s">
        <v>15855</v>
      </c>
      <c r="R1062" s="182" t="str">
        <f ca="1">IF(ISERROR($V1062),"",OFFSET('Smelter Look-up'!$C$4,$V1062-4,0)&amp;"")</f>
        <v>PT Bukit Timah</v>
      </c>
      <c r="S1062" s="181" t="str">
        <f t="shared" ca="1" si="149"/>
        <v>ID</v>
      </c>
      <c r="T1062" s="181" t="str">
        <f ca="1">IF(B1062="","",IF(ISERROR(MATCH($J1062,SorP!$B$1:$B$6226,0)),"",INDIRECT("'SorP'!$A$"&amp;MATCH($S1062&amp;$J1062,SorP!C:C,0))))</f>
        <v>ID-BB</v>
      </c>
      <c r="U1062" s="201"/>
      <c r="V1062" s="226">
        <f>IF(C1062="",NA(),IF(OR(C1062="Smelter not listed",C1062="Smelter not yet identified"),MATCH($B1062&amp;$D1062,'Smelter Look-up'!$J:$J,0),MATCH($B1062&amp;$C1062,'Smelter Look-up'!$J:$J,0)))</f>
        <v>512</v>
      </c>
      <c r="X1062" s="227">
        <f t="shared" si="150"/>
        <v>0</v>
      </c>
      <c r="AB1062" s="228" t="str">
        <f t="shared" si="151"/>
        <v>TinPT Bukit Timah</v>
      </c>
    </row>
    <row r="1063" spans="1:28" s="227" customFormat="1" ht="40.5">
      <c r="A1063" s="301" t="s">
        <v>15435</v>
      </c>
      <c r="B1063" s="293" t="s">
        <v>1120</v>
      </c>
      <c r="C1063" s="294" t="s">
        <v>15434</v>
      </c>
      <c r="D1063" s="295" t="s">
        <v>15434</v>
      </c>
      <c r="E1063" s="293" t="s">
        <v>1095</v>
      </c>
      <c r="F1063" s="293" t="s">
        <v>15435</v>
      </c>
      <c r="G1063" s="293" t="s">
        <v>13217</v>
      </c>
      <c r="H1063" s="302" t="s">
        <v>15880</v>
      </c>
      <c r="I1063" s="297" t="s">
        <v>15109</v>
      </c>
      <c r="J1063" s="297" t="s">
        <v>12830</v>
      </c>
      <c r="K1063" s="298" t="s">
        <v>16758</v>
      </c>
      <c r="L1063" s="298" t="s">
        <v>16759</v>
      </c>
      <c r="M1063" s="298" t="s">
        <v>16345</v>
      </c>
      <c r="N1063" s="298" t="s">
        <v>16540</v>
      </c>
      <c r="O1063" s="298" t="s">
        <v>16540</v>
      </c>
      <c r="P1063" s="299" t="s">
        <v>15857</v>
      </c>
      <c r="Q1063" s="300" t="s">
        <v>16569</v>
      </c>
      <c r="R1063" s="182" t="str">
        <f ca="1">IF(ISERROR($V1063),"",OFFSET('Smelter Look-up'!$C$4,$V1063-4,0)&amp;"")</f>
        <v>PT Bukit Timah</v>
      </c>
      <c r="S1063" s="181" t="str">
        <f t="shared" ca="1" si="149"/>
        <v>ID</v>
      </c>
      <c r="T1063" s="181" t="str">
        <f ca="1">IF(B1063="","",IF(ISERROR(MATCH($J1063,SorP!$B$1:$B$6226,0)),"",INDIRECT("'SorP'!$A$"&amp;MATCH($S1063&amp;$J1063,SorP!C:C,0))))</f>
        <v>ID-BB</v>
      </c>
      <c r="U1063" s="201"/>
      <c r="V1063" s="226">
        <f>IF(C1063="",NA(),IF(OR(C1063="Smelter not listed",C1063="Smelter not yet identified"),MATCH($B1063&amp;$D1063,'Smelter Look-up'!$J:$J,0),MATCH($B1063&amp;$C1063,'Smelter Look-up'!$J:$J,0)))</f>
        <v>512</v>
      </c>
      <c r="X1063" s="227">
        <f t="shared" si="150"/>
        <v>0</v>
      </c>
      <c r="AB1063" s="228" t="str">
        <f t="shared" si="151"/>
        <v>TinPT Bukit Timah</v>
      </c>
    </row>
    <row r="1064" spans="1:28" s="227" customFormat="1" ht="40.5">
      <c r="A1064" s="301" t="s">
        <v>15435</v>
      </c>
      <c r="B1064" s="293" t="s">
        <v>1120</v>
      </c>
      <c r="C1064" s="294" t="s">
        <v>15434</v>
      </c>
      <c r="D1064" s="295" t="s">
        <v>15434</v>
      </c>
      <c r="E1064" s="293" t="s">
        <v>1095</v>
      </c>
      <c r="F1064" s="293" t="s">
        <v>15435</v>
      </c>
      <c r="G1064" s="293" t="s">
        <v>13217</v>
      </c>
      <c r="H1064" s="296" t="s">
        <v>16760</v>
      </c>
      <c r="I1064" s="297" t="s">
        <v>15109</v>
      </c>
      <c r="J1064" s="297" t="s">
        <v>12830</v>
      </c>
      <c r="K1064" s="298" t="s">
        <v>16747</v>
      </c>
      <c r="L1064" s="298" t="s">
        <v>16740</v>
      </c>
      <c r="M1064" s="298" t="s">
        <v>16744</v>
      </c>
      <c r="N1064" s="298" t="s">
        <v>12830</v>
      </c>
      <c r="O1064" s="298" t="s">
        <v>16735</v>
      </c>
      <c r="P1064" s="299" t="s">
        <v>15857</v>
      </c>
      <c r="Q1064" s="300" t="s">
        <v>16744</v>
      </c>
      <c r="R1064" s="182" t="str">
        <f ca="1">IF(ISERROR($V1064),"",OFFSET('Smelter Look-up'!$C$4,$V1064-4,0)&amp;"")</f>
        <v>PT Bukit Timah</v>
      </c>
      <c r="S1064" s="181" t="str">
        <f t="shared" ca="1" si="149"/>
        <v>ID</v>
      </c>
      <c r="T1064" s="181" t="str">
        <f ca="1">IF(B1064="","",IF(ISERROR(MATCH($J1064,SorP!$B$1:$B$6226,0)),"",INDIRECT("'SorP'!$A$"&amp;MATCH($S1064&amp;$J1064,SorP!C:C,0))))</f>
        <v>ID-BB</v>
      </c>
      <c r="U1064" s="201"/>
      <c r="V1064" s="226">
        <f>IF(C1064="",NA(),IF(OR(C1064="Smelter not listed",C1064="Smelter not yet identified"),MATCH($B1064&amp;$D1064,'Smelter Look-up'!$J:$J,0),MATCH($B1064&amp;$C1064,'Smelter Look-up'!$J:$J,0)))</f>
        <v>512</v>
      </c>
      <c r="X1064" s="227">
        <f t="shared" si="150"/>
        <v>0</v>
      </c>
      <c r="AB1064" s="228" t="str">
        <f t="shared" si="151"/>
        <v>TinPT Bukit Timah</v>
      </c>
    </row>
    <row r="1065" spans="1:28" s="227" customFormat="1" ht="40.5">
      <c r="A1065" s="301" t="s">
        <v>15435</v>
      </c>
      <c r="B1065" s="293" t="s">
        <v>1120</v>
      </c>
      <c r="C1065" s="294" t="s">
        <v>15434</v>
      </c>
      <c r="D1065" s="295" t="s">
        <v>15434</v>
      </c>
      <c r="E1065" s="293" t="s">
        <v>1095</v>
      </c>
      <c r="F1065" s="293" t="s">
        <v>15435</v>
      </c>
      <c r="G1065" s="293" t="s">
        <v>13217</v>
      </c>
      <c r="H1065" s="296" t="s">
        <v>16761</v>
      </c>
      <c r="I1065" s="297" t="s">
        <v>15109</v>
      </c>
      <c r="J1065" s="297" t="s">
        <v>12830</v>
      </c>
      <c r="K1065" s="298" t="s">
        <v>16747</v>
      </c>
      <c r="L1065" s="298" t="s">
        <v>16740</v>
      </c>
      <c r="M1065" s="298" t="s">
        <v>15855</v>
      </c>
      <c r="N1065" s="298" t="s">
        <v>12830</v>
      </c>
      <c r="O1065" s="298" t="s">
        <v>16735</v>
      </c>
      <c r="P1065" s="299" t="s">
        <v>15857</v>
      </c>
      <c r="Q1065" s="300" t="s">
        <v>15855</v>
      </c>
      <c r="R1065" s="182" t="str">
        <f ca="1">IF(ISERROR($V1065),"",OFFSET('Smelter Look-up'!$C$4,$V1065-4,0)&amp;"")</f>
        <v>PT Bukit Timah</v>
      </c>
      <c r="S1065" s="181" t="str">
        <f t="shared" ca="1" si="149"/>
        <v>ID</v>
      </c>
      <c r="T1065" s="181" t="str">
        <f ca="1">IF(B1065="","",IF(ISERROR(MATCH($J1065,SorP!$B$1:$B$6226,0)),"",INDIRECT("'SorP'!$A$"&amp;MATCH($S1065&amp;$J1065,SorP!C:C,0))))</f>
        <v>ID-BB</v>
      </c>
      <c r="U1065" s="201"/>
      <c r="V1065" s="226">
        <f>IF(C1065="",NA(),IF(OR(C1065="Smelter not listed",C1065="Smelter not yet identified"),MATCH($B1065&amp;$D1065,'Smelter Look-up'!$J:$J,0),MATCH($B1065&amp;$C1065,'Smelter Look-up'!$J:$J,0)))</f>
        <v>512</v>
      </c>
      <c r="X1065" s="227">
        <f t="shared" si="150"/>
        <v>0</v>
      </c>
      <c r="AB1065" s="228" t="str">
        <f t="shared" si="151"/>
        <v>TinPT Bukit Timah</v>
      </c>
    </row>
    <row r="1066" spans="1:28" s="227" customFormat="1" ht="54">
      <c r="A1066" s="301" t="s">
        <v>15448</v>
      </c>
      <c r="B1066" s="293" t="s">
        <v>1120</v>
      </c>
      <c r="C1066" s="294" t="s">
        <v>15447</v>
      </c>
      <c r="D1066" s="295" t="s">
        <v>15447</v>
      </c>
      <c r="E1066" s="293" t="s">
        <v>1095</v>
      </c>
      <c r="F1066" s="293" t="s">
        <v>15448</v>
      </c>
      <c r="G1066" s="293" t="s">
        <v>13217</v>
      </c>
      <c r="H1066" s="296" t="s">
        <v>15855</v>
      </c>
      <c r="I1066" s="297" t="s">
        <v>15449</v>
      </c>
      <c r="J1066" s="297" t="s">
        <v>1776</v>
      </c>
      <c r="K1066" s="298" t="s">
        <v>15855</v>
      </c>
      <c r="L1066" s="298" t="s">
        <v>15855</v>
      </c>
      <c r="M1066" s="298" t="s">
        <v>15855</v>
      </c>
      <c r="N1066" s="298" t="s">
        <v>15855</v>
      </c>
      <c r="O1066" s="298" t="s">
        <v>15855</v>
      </c>
      <c r="P1066" s="299" t="s">
        <v>15857</v>
      </c>
      <c r="Q1066" s="300" t="s">
        <v>15855</v>
      </c>
      <c r="R1066" s="182" t="str">
        <f ca="1">IF(ISERROR($V1066),"",OFFSET('Smelter Look-up'!$C$4,$V1066-4,0)&amp;"")</f>
        <v>PT Cipta Persada Mulia</v>
      </c>
      <c r="S1066" s="181" t="str">
        <f t="shared" ca="1" si="149"/>
        <v>ID</v>
      </c>
      <c r="T1066" s="181" t="str">
        <f ca="1">IF(B1066="","",IF(ISERROR(MATCH($J1066,SorP!$B$1:$B$6226,0)),"",INDIRECT("'SorP'!$A$"&amp;MATCH($S1066&amp;$J1066,SorP!C:C,0))))</f>
        <v>ID-KR</v>
      </c>
      <c r="U1066" s="201"/>
      <c r="V1066" s="226">
        <f>IF(C1066="",NA(),IF(OR(C1066="Smelter not listed",C1066="Smelter not yet identified"),MATCH($B1066&amp;$D1066,'Smelter Look-up'!$J:$J,0),MATCH($B1066&amp;$C1066,'Smelter Look-up'!$J:$J,0)))</f>
        <v>513</v>
      </c>
      <c r="X1066" s="227">
        <f t="shared" si="150"/>
        <v>0</v>
      </c>
      <c r="AB1066" s="228" t="str">
        <f t="shared" si="151"/>
        <v>TinPT Cipta Persada Mulia</v>
      </c>
    </row>
    <row r="1067" spans="1:28" s="227" customFormat="1" ht="54">
      <c r="A1067" s="301" t="s">
        <v>15448</v>
      </c>
      <c r="B1067" s="293" t="s">
        <v>1120</v>
      </c>
      <c r="C1067" s="294" t="s">
        <v>15447</v>
      </c>
      <c r="D1067" s="295" t="s">
        <v>15447</v>
      </c>
      <c r="E1067" s="293" t="s">
        <v>1095</v>
      </c>
      <c r="F1067" s="293" t="s">
        <v>15448</v>
      </c>
      <c r="G1067" s="293" t="s">
        <v>13217</v>
      </c>
      <c r="H1067" s="296" t="s">
        <v>15855</v>
      </c>
      <c r="I1067" s="297" t="s">
        <v>15449</v>
      </c>
      <c r="J1067" s="297" t="s">
        <v>1776</v>
      </c>
      <c r="K1067" s="298" t="s">
        <v>15855</v>
      </c>
      <c r="L1067" s="298" t="s">
        <v>15855</v>
      </c>
      <c r="M1067" s="298" t="s">
        <v>15855</v>
      </c>
      <c r="N1067" s="298" t="s">
        <v>15855</v>
      </c>
      <c r="O1067" s="298" t="s">
        <v>15858</v>
      </c>
      <c r="P1067" s="299" t="s">
        <v>15857</v>
      </c>
      <c r="Q1067" s="300" t="s">
        <v>15855</v>
      </c>
      <c r="R1067" s="182" t="str">
        <f ca="1">IF(ISERROR($V1067),"",OFFSET('Smelter Look-up'!$C$4,$V1067-4,0)&amp;"")</f>
        <v>PT Cipta Persada Mulia</v>
      </c>
      <c r="S1067" s="181" t="str">
        <f t="shared" ca="1" si="149"/>
        <v>ID</v>
      </c>
      <c r="T1067" s="181" t="str">
        <f ca="1">IF(B1067="","",IF(ISERROR(MATCH($J1067,SorP!$B$1:$B$6226,0)),"",INDIRECT("'SorP'!$A$"&amp;MATCH($S1067&amp;$J1067,SorP!C:C,0))))</f>
        <v>ID-KR</v>
      </c>
      <c r="U1067" s="201"/>
      <c r="V1067" s="226">
        <f>IF(C1067="",NA(),IF(OR(C1067="Smelter not listed",C1067="Smelter not yet identified"),MATCH($B1067&amp;$D1067,'Smelter Look-up'!$J:$J,0),MATCH($B1067&amp;$C1067,'Smelter Look-up'!$J:$J,0)))</f>
        <v>513</v>
      </c>
      <c r="X1067" s="227">
        <f t="shared" si="150"/>
        <v>0</v>
      </c>
      <c r="AB1067" s="228" t="str">
        <f t="shared" si="151"/>
        <v>TinPT Cipta Persada Mulia</v>
      </c>
    </row>
    <row r="1068" spans="1:28" s="227" customFormat="1" ht="54">
      <c r="A1068" s="301" t="s">
        <v>15448</v>
      </c>
      <c r="B1068" s="293" t="s">
        <v>1120</v>
      </c>
      <c r="C1068" s="294" t="s">
        <v>15447</v>
      </c>
      <c r="D1068" s="295" t="s">
        <v>15447</v>
      </c>
      <c r="E1068" s="293" t="s">
        <v>1095</v>
      </c>
      <c r="F1068" s="293" t="s">
        <v>15448</v>
      </c>
      <c r="G1068" s="293" t="s">
        <v>13217</v>
      </c>
      <c r="H1068" s="302" t="s">
        <v>15880</v>
      </c>
      <c r="I1068" s="297" t="s">
        <v>15449</v>
      </c>
      <c r="J1068" s="297" t="s">
        <v>1776</v>
      </c>
      <c r="K1068" s="298" t="s">
        <v>15855</v>
      </c>
      <c r="L1068" s="298" t="s">
        <v>15855</v>
      </c>
      <c r="M1068" s="298" t="s">
        <v>15855</v>
      </c>
      <c r="N1068" s="298" t="s">
        <v>15855</v>
      </c>
      <c r="O1068" s="298" t="s">
        <v>15855</v>
      </c>
      <c r="P1068" s="299" t="s">
        <v>15857</v>
      </c>
      <c r="Q1068" s="300" t="s">
        <v>15855</v>
      </c>
      <c r="R1068" s="182" t="str">
        <f ca="1">IF(ISERROR($V1068),"",OFFSET('Smelter Look-up'!$C$4,$V1068-4,0)&amp;"")</f>
        <v>PT Cipta Persada Mulia</v>
      </c>
      <c r="S1068" s="181" t="str">
        <f t="shared" ca="1" si="149"/>
        <v>ID</v>
      </c>
      <c r="T1068" s="181" t="str">
        <f ca="1">IF(B1068="","",IF(ISERROR(MATCH($J1068,SorP!$B$1:$B$6226,0)),"",INDIRECT("'SorP'!$A$"&amp;MATCH($S1068&amp;$J1068,SorP!C:C,0))))</f>
        <v>ID-KR</v>
      </c>
      <c r="U1068" s="201"/>
      <c r="V1068" s="226">
        <f>IF(C1068="",NA(),IF(OR(C1068="Smelter not listed",C1068="Smelter not yet identified"),MATCH($B1068&amp;$D1068,'Smelter Look-up'!$J:$J,0),MATCH($B1068&amp;$C1068,'Smelter Look-up'!$J:$J,0)))</f>
        <v>513</v>
      </c>
      <c r="X1068" s="227">
        <f t="shared" si="150"/>
        <v>0</v>
      </c>
      <c r="AB1068" s="228" t="str">
        <f t="shared" si="151"/>
        <v>TinPT Cipta Persada Mulia</v>
      </c>
    </row>
    <row r="1069" spans="1:28" s="227" customFormat="1" ht="40.5">
      <c r="A1069" s="301" t="s">
        <v>16762</v>
      </c>
      <c r="B1069" s="293" t="s">
        <v>1120</v>
      </c>
      <c r="C1069" s="294" t="s">
        <v>16763</v>
      </c>
      <c r="D1069" s="295" t="s">
        <v>16763</v>
      </c>
      <c r="E1069" s="293" t="s">
        <v>1095</v>
      </c>
      <c r="F1069" s="293" t="s">
        <v>16762</v>
      </c>
      <c r="G1069" s="293" t="s">
        <v>13217</v>
      </c>
      <c r="H1069" s="296" t="s">
        <v>15855</v>
      </c>
      <c r="I1069" s="297" t="s">
        <v>15109</v>
      </c>
      <c r="J1069" s="297" t="s">
        <v>12830</v>
      </c>
      <c r="K1069" s="298" t="s">
        <v>15855</v>
      </c>
      <c r="L1069" s="298" t="s">
        <v>15855</v>
      </c>
      <c r="M1069" s="298" t="s">
        <v>15855</v>
      </c>
      <c r="N1069" s="298" t="s">
        <v>15855</v>
      </c>
      <c r="O1069" s="298" t="s">
        <v>15855</v>
      </c>
      <c r="P1069" s="299" t="s">
        <v>15857</v>
      </c>
      <c r="Q1069" s="300" t="s">
        <v>15855</v>
      </c>
      <c r="R1069" s="182" t="str">
        <f ca="1">IF(ISERROR($V1069),"",OFFSET('Smelter Look-up'!$C$4,$V1069-4,0)&amp;"")</f>
        <v/>
      </c>
      <c r="S1069" s="181" t="str">
        <f t="shared" ca="1" si="149"/>
        <v>ID</v>
      </c>
      <c r="T1069" s="181" t="str">
        <f ca="1">IF(B1069="","",IF(ISERROR(MATCH($J1069,SorP!$B$1:$B$6226,0)),"",INDIRECT("'SorP'!$A$"&amp;MATCH($S1069&amp;$J1069,SorP!C:C,0))))</f>
        <v>ID-BB</v>
      </c>
      <c r="U1069" s="201"/>
      <c r="V1069" s="226" t="e">
        <f>IF(C1069="",NA(),IF(OR(C1069="Smelter not listed",C1069="Smelter not yet identified"),MATCH($B1069&amp;$D1069,'Smelter Look-up'!$J:$J,0),MATCH($B1069&amp;$C1069,'Smelter Look-up'!$J:$J,0)))</f>
        <v>#N/A</v>
      </c>
      <c r="X1069" s="227">
        <f t="shared" si="150"/>
        <v>0</v>
      </c>
      <c r="AB1069" s="228" t="str">
        <f t="shared" si="151"/>
        <v>TinPT DS Jaya Abadi</v>
      </c>
    </row>
    <row r="1070" spans="1:28" s="227" customFormat="1" ht="40.5">
      <c r="A1070" s="301" t="s">
        <v>16762</v>
      </c>
      <c r="B1070" s="293" t="s">
        <v>1120</v>
      </c>
      <c r="C1070" s="294" t="s">
        <v>16763</v>
      </c>
      <c r="D1070" s="295" t="s">
        <v>16763</v>
      </c>
      <c r="E1070" s="293" t="s">
        <v>1095</v>
      </c>
      <c r="F1070" s="293" t="s">
        <v>16762</v>
      </c>
      <c r="G1070" s="293" t="s">
        <v>13217</v>
      </c>
      <c r="H1070" s="296" t="s">
        <v>15855</v>
      </c>
      <c r="I1070" s="297" t="s">
        <v>15109</v>
      </c>
      <c r="J1070" s="297" t="s">
        <v>12830</v>
      </c>
      <c r="K1070" s="298" t="s">
        <v>15855</v>
      </c>
      <c r="L1070" s="298" t="s">
        <v>15855</v>
      </c>
      <c r="M1070" s="298" t="s">
        <v>15855</v>
      </c>
      <c r="N1070" s="298" t="s">
        <v>15855</v>
      </c>
      <c r="O1070" s="298" t="s">
        <v>15855</v>
      </c>
      <c r="P1070" s="299" t="s">
        <v>15857</v>
      </c>
      <c r="Q1070" s="300" t="s">
        <v>16531</v>
      </c>
      <c r="R1070" s="182" t="str">
        <f ca="1">IF(ISERROR($V1070),"",OFFSET('Smelter Look-up'!$C$4,$V1070-4,0)&amp;"")</f>
        <v/>
      </c>
      <c r="S1070" s="181" t="str">
        <f t="shared" ca="1" si="149"/>
        <v>ID</v>
      </c>
      <c r="T1070" s="181" t="str">
        <f ca="1">IF(B1070="","",IF(ISERROR(MATCH($J1070,SorP!$B$1:$B$6226,0)),"",INDIRECT("'SorP'!$A$"&amp;MATCH($S1070&amp;$J1070,SorP!C:C,0))))</f>
        <v>ID-BB</v>
      </c>
      <c r="U1070" s="201"/>
      <c r="V1070" s="226" t="e">
        <f>IF(C1070="",NA(),IF(OR(C1070="Smelter not listed",C1070="Smelter not yet identified"),MATCH($B1070&amp;$D1070,'Smelter Look-up'!$J:$J,0),MATCH($B1070&amp;$C1070,'Smelter Look-up'!$J:$J,0)))</f>
        <v>#N/A</v>
      </c>
      <c r="X1070" s="227">
        <f t="shared" si="150"/>
        <v>0</v>
      </c>
      <c r="AB1070" s="228" t="str">
        <f t="shared" si="151"/>
        <v>TinPT DS Jaya Abadi</v>
      </c>
    </row>
    <row r="1071" spans="1:28" s="227" customFormat="1" ht="40.5">
      <c r="A1071" s="301" t="s">
        <v>16762</v>
      </c>
      <c r="B1071" s="293" t="s">
        <v>1120</v>
      </c>
      <c r="C1071" s="294" t="s">
        <v>16763</v>
      </c>
      <c r="D1071" s="295" t="s">
        <v>16763</v>
      </c>
      <c r="E1071" s="293" t="s">
        <v>1095</v>
      </c>
      <c r="F1071" s="293" t="s">
        <v>16762</v>
      </c>
      <c r="G1071" s="293" t="s">
        <v>13217</v>
      </c>
      <c r="H1071" s="302" t="s">
        <v>15880</v>
      </c>
      <c r="I1071" s="297" t="s">
        <v>15109</v>
      </c>
      <c r="J1071" s="297" t="s">
        <v>12830</v>
      </c>
      <c r="K1071" s="298" t="s">
        <v>15855</v>
      </c>
      <c r="L1071" s="298" t="s">
        <v>15855</v>
      </c>
      <c r="M1071" s="298" t="s">
        <v>15855</v>
      </c>
      <c r="N1071" s="298" t="s">
        <v>15855</v>
      </c>
      <c r="O1071" s="298" t="s">
        <v>15855</v>
      </c>
      <c r="P1071" s="299" t="s">
        <v>15857</v>
      </c>
      <c r="Q1071" s="300" t="s">
        <v>15855</v>
      </c>
      <c r="R1071" s="182" t="str">
        <f ca="1">IF(ISERROR($V1071),"",OFFSET('Smelter Look-up'!$C$4,$V1071-4,0)&amp;"")</f>
        <v/>
      </c>
      <c r="S1071" s="181" t="str">
        <f t="shared" ca="1" si="149"/>
        <v>ID</v>
      </c>
      <c r="T1071" s="181" t="str">
        <f ca="1">IF(B1071="","",IF(ISERROR(MATCH($J1071,SorP!$B$1:$B$6226,0)),"",INDIRECT("'SorP'!$A$"&amp;MATCH($S1071&amp;$J1071,SorP!C:C,0))))</f>
        <v>ID-BB</v>
      </c>
      <c r="U1071" s="201"/>
      <c r="V1071" s="226" t="e">
        <f>IF(C1071="",NA(),IF(OR(C1071="Smelter not listed",C1071="Smelter not yet identified"),MATCH($B1071&amp;$D1071,'Smelter Look-up'!$J:$J,0),MATCH($B1071&amp;$C1071,'Smelter Look-up'!$J:$J,0)))</f>
        <v>#N/A</v>
      </c>
      <c r="X1071" s="227">
        <f t="shared" si="150"/>
        <v>0</v>
      </c>
      <c r="AB1071" s="228" t="str">
        <f t="shared" si="151"/>
        <v>TinPT DS Jaya Abadi</v>
      </c>
    </row>
    <row r="1072" spans="1:28" s="227" customFormat="1" ht="54">
      <c r="A1072" s="301" t="s">
        <v>16764</v>
      </c>
      <c r="B1072" s="293" t="s">
        <v>1120</v>
      </c>
      <c r="C1072" s="294" t="s">
        <v>16765</v>
      </c>
      <c r="D1072" s="295" t="s">
        <v>16765</v>
      </c>
      <c r="E1072" s="293" t="s">
        <v>1095</v>
      </c>
      <c r="F1072" s="293" t="s">
        <v>16764</v>
      </c>
      <c r="G1072" s="293" t="s">
        <v>13217</v>
      </c>
      <c r="H1072" s="302" t="s">
        <v>15880</v>
      </c>
      <c r="I1072" s="297" t="s">
        <v>16766</v>
      </c>
      <c r="J1072" s="297" t="s">
        <v>1776</v>
      </c>
      <c r="K1072" s="298" t="s">
        <v>15855</v>
      </c>
      <c r="L1072" s="298" t="s">
        <v>15855</v>
      </c>
      <c r="M1072" s="298" t="s">
        <v>15855</v>
      </c>
      <c r="N1072" s="298" t="s">
        <v>15855</v>
      </c>
      <c r="O1072" s="298" t="s">
        <v>15855</v>
      </c>
      <c r="P1072" s="299" t="s">
        <v>15857</v>
      </c>
      <c r="Q1072" s="300" t="s">
        <v>15855</v>
      </c>
      <c r="R1072" s="182" t="str">
        <f ca="1">IF(ISERROR($V1072),"",OFFSET('Smelter Look-up'!$C$4,$V1072-4,0)&amp;"")</f>
        <v/>
      </c>
      <c r="S1072" s="181" t="str">
        <f t="shared" ca="1" si="149"/>
        <v>ID</v>
      </c>
      <c r="T1072" s="181" t="str">
        <f ca="1">IF(B1072="","",IF(ISERROR(MATCH($J1072,SorP!$B$1:$B$6226,0)),"",INDIRECT("'SorP'!$A$"&amp;MATCH($S1072&amp;$J1072,SorP!C:C,0))))</f>
        <v>ID-KR</v>
      </c>
      <c r="U1072" s="201"/>
      <c r="V1072" s="226" t="e">
        <f>IF(C1072="",NA(),IF(OR(C1072="Smelter not listed",C1072="Smelter not yet identified"),MATCH($B1072&amp;$D1072,'Smelter Look-up'!$J:$J,0),MATCH($B1072&amp;$C1072,'Smelter Look-up'!$J:$J,0)))</f>
        <v>#N/A</v>
      </c>
      <c r="X1072" s="227">
        <f t="shared" si="150"/>
        <v>0</v>
      </c>
      <c r="AB1072" s="228" t="str">
        <f t="shared" si="151"/>
        <v>TinPT Eunindo Usaha Mandiri</v>
      </c>
    </row>
    <row r="1073" spans="1:28" s="227" customFormat="1" ht="54">
      <c r="A1073" s="301" t="s">
        <v>16767</v>
      </c>
      <c r="B1073" s="293" t="s">
        <v>1120</v>
      </c>
      <c r="C1073" s="294" t="s">
        <v>16768</v>
      </c>
      <c r="D1073" s="295" t="s">
        <v>16768</v>
      </c>
      <c r="E1073" s="293" t="s">
        <v>1095</v>
      </c>
      <c r="F1073" s="293" t="s">
        <v>16767</v>
      </c>
      <c r="G1073" s="293" t="s">
        <v>13217</v>
      </c>
      <c r="H1073" s="302" t="s">
        <v>15880</v>
      </c>
      <c r="I1073" s="297" t="s">
        <v>1753</v>
      </c>
      <c r="J1073" s="297" t="s">
        <v>12830</v>
      </c>
      <c r="K1073" s="298" t="s">
        <v>15855</v>
      </c>
      <c r="L1073" s="298" t="s">
        <v>15855</v>
      </c>
      <c r="M1073" s="298" t="s">
        <v>15855</v>
      </c>
      <c r="N1073" s="298" t="s">
        <v>15855</v>
      </c>
      <c r="O1073" s="298" t="s">
        <v>15855</v>
      </c>
      <c r="P1073" s="299" t="s">
        <v>15857</v>
      </c>
      <c r="Q1073" s="300" t="s">
        <v>15855</v>
      </c>
      <c r="R1073" s="182" t="str">
        <f ca="1">IF(ISERROR($V1073),"",OFFSET('Smelter Look-up'!$C$4,$V1073-4,0)&amp;"")</f>
        <v/>
      </c>
      <c r="S1073" s="181" t="str">
        <f t="shared" ca="1" si="149"/>
        <v>ID</v>
      </c>
      <c r="T1073" s="181" t="str">
        <f ca="1">IF(B1073="","",IF(ISERROR(MATCH($J1073,SorP!$B$1:$B$6226,0)),"",INDIRECT("'SorP'!$A$"&amp;MATCH($S1073&amp;$J1073,SorP!C:C,0))))</f>
        <v>ID-BB</v>
      </c>
      <c r="U1073" s="201"/>
      <c r="V1073" s="226" t="e">
        <f>IF(C1073="",NA(),IF(OR(C1073="Smelter not listed",C1073="Smelter not yet identified"),MATCH($B1073&amp;$D1073,'Smelter Look-up'!$J:$J,0),MATCH($B1073&amp;$C1073,'Smelter Look-up'!$J:$J,0)))</f>
        <v>#N/A</v>
      </c>
      <c r="X1073" s="227">
        <f t="shared" si="150"/>
        <v>0</v>
      </c>
      <c r="AB1073" s="228" t="str">
        <f t="shared" si="151"/>
        <v>TinPT Inti Stania Prima</v>
      </c>
    </row>
    <row r="1074" spans="1:28" s="227" customFormat="1" ht="54">
      <c r="A1074" s="301" t="s">
        <v>15078</v>
      </c>
      <c r="B1074" s="293" t="s">
        <v>1120</v>
      </c>
      <c r="C1074" s="294" t="s">
        <v>15077</v>
      </c>
      <c r="D1074" s="295" t="s">
        <v>15077</v>
      </c>
      <c r="E1074" s="293" t="s">
        <v>1095</v>
      </c>
      <c r="F1074" s="293" t="s">
        <v>15078</v>
      </c>
      <c r="G1074" s="293" t="s">
        <v>13217</v>
      </c>
      <c r="H1074" s="296" t="s">
        <v>15855</v>
      </c>
      <c r="I1074" s="297" t="s">
        <v>15114</v>
      </c>
      <c r="J1074" s="297" t="s">
        <v>12830</v>
      </c>
      <c r="K1074" s="298" t="s">
        <v>15855</v>
      </c>
      <c r="L1074" s="298" t="s">
        <v>15855</v>
      </c>
      <c r="M1074" s="298" t="s">
        <v>15855</v>
      </c>
      <c r="N1074" s="298" t="s">
        <v>15855</v>
      </c>
      <c r="O1074" s="298" t="s">
        <v>15855</v>
      </c>
      <c r="P1074" s="299" t="s">
        <v>15857</v>
      </c>
      <c r="Q1074" s="300" t="s">
        <v>15855</v>
      </c>
      <c r="R1074" s="182" t="str">
        <f ca="1">IF(ISERROR($V1074),"",OFFSET('Smelter Look-up'!$C$4,$V1074-4,0)&amp;"")</f>
        <v>PT Menara Cipta Mulia</v>
      </c>
      <c r="S1074" s="181" t="str">
        <f t="shared" ca="1" si="149"/>
        <v>ID</v>
      </c>
      <c r="T1074" s="181" t="str">
        <f ca="1">IF(B1074="","",IF(ISERROR(MATCH($J1074,SorP!$B$1:$B$6226,0)),"",INDIRECT("'SorP'!$A$"&amp;MATCH($S1074&amp;$J1074,SorP!C:C,0))))</f>
        <v>ID-BB</v>
      </c>
      <c r="U1074" s="201"/>
      <c r="V1074" s="226">
        <f>IF(C1074="",NA(),IF(OR(C1074="Smelter not listed",C1074="Smelter not yet identified"),MATCH($B1074&amp;$D1074,'Smelter Look-up'!$J:$J,0),MATCH($B1074&amp;$C1074,'Smelter Look-up'!$J:$J,0)))</f>
        <v>516</v>
      </c>
      <c r="X1074" s="227">
        <f t="shared" si="150"/>
        <v>0</v>
      </c>
      <c r="AB1074" s="228" t="str">
        <f t="shared" si="151"/>
        <v>TinPT Menara Cipta Mulia</v>
      </c>
    </row>
    <row r="1075" spans="1:28" s="227" customFormat="1" ht="54">
      <c r="A1075" s="301" t="s">
        <v>15078</v>
      </c>
      <c r="B1075" s="293" t="s">
        <v>1120</v>
      </c>
      <c r="C1075" s="294" t="s">
        <v>15077</v>
      </c>
      <c r="D1075" s="295" t="s">
        <v>15077</v>
      </c>
      <c r="E1075" s="293" t="s">
        <v>1095</v>
      </c>
      <c r="F1075" s="293" t="s">
        <v>15078</v>
      </c>
      <c r="G1075" s="293" t="s">
        <v>13217</v>
      </c>
      <c r="H1075" s="296" t="s">
        <v>15855</v>
      </c>
      <c r="I1075" s="297" t="s">
        <v>15114</v>
      </c>
      <c r="J1075" s="297" t="s">
        <v>12830</v>
      </c>
      <c r="K1075" s="298" t="s">
        <v>15855</v>
      </c>
      <c r="L1075" s="298" t="s">
        <v>15855</v>
      </c>
      <c r="M1075" s="298" t="s">
        <v>15855</v>
      </c>
      <c r="N1075" s="298" t="s">
        <v>15855</v>
      </c>
      <c r="O1075" s="298" t="s">
        <v>15855</v>
      </c>
      <c r="P1075" s="299" t="s">
        <v>15857</v>
      </c>
      <c r="Q1075" s="300" t="s">
        <v>16531</v>
      </c>
      <c r="R1075" s="182" t="str">
        <f ca="1">IF(ISERROR($V1075),"",OFFSET('Smelter Look-up'!$C$4,$V1075-4,0)&amp;"")</f>
        <v>PT Menara Cipta Mulia</v>
      </c>
      <c r="S1075" s="181" t="str">
        <f t="shared" ca="1" si="149"/>
        <v>ID</v>
      </c>
      <c r="T1075" s="181" t="str">
        <f ca="1">IF(B1075="","",IF(ISERROR(MATCH($J1075,SorP!$B$1:$B$6226,0)),"",INDIRECT("'SorP'!$A$"&amp;MATCH($S1075&amp;$J1075,SorP!C:C,0))))</f>
        <v>ID-BB</v>
      </c>
      <c r="U1075" s="201"/>
      <c r="V1075" s="226">
        <f>IF(C1075="",NA(),IF(OR(C1075="Smelter not listed",C1075="Smelter not yet identified"),MATCH($B1075&amp;$D1075,'Smelter Look-up'!$J:$J,0),MATCH($B1075&amp;$C1075,'Smelter Look-up'!$J:$J,0)))</f>
        <v>516</v>
      </c>
      <c r="X1075" s="227">
        <f t="shared" si="150"/>
        <v>0</v>
      </c>
      <c r="AB1075" s="228" t="str">
        <f t="shared" si="151"/>
        <v>TinPT Menara Cipta Mulia</v>
      </c>
    </row>
    <row r="1076" spans="1:28" s="227" customFormat="1" ht="54">
      <c r="A1076" s="301" t="s">
        <v>15078</v>
      </c>
      <c r="B1076" s="293" t="s">
        <v>1120</v>
      </c>
      <c r="C1076" s="294" t="s">
        <v>15077</v>
      </c>
      <c r="D1076" s="295" t="s">
        <v>15077</v>
      </c>
      <c r="E1076" s="293" t="s">
        <v>1095</v>
      </c>
      <c r="F1076" s="293" t="s">
        <v>15078</v>
      </c>
      <c r="G1076" s="293" t="s">
        <v>13217</v>
      </c>
      <c r="H1076" s="296" t="s">
        <v>15855</v>
      </c>
      <c r="I1076" s="297" t="s">
        <v>15114</v>
      </c>
      <c r="J1076" s="297" t="s">
        <v>12830</v>
      </c>
      <c r="K1076" s="298" t="s">
        <v>15855</v>
      </c>
      <c r="L1076" s="298" t="s">
        <v>15855</v>
      </c>
      <c r="M1076" s="298" t="s">
        <v>15855</v>
      </c>
      <c r="N1076" s="298" t="s">
        <v>15855</v>
      </c>
      <c r="O1076" s="298" t="s">
        <v>16731</v>
      </c>
      <c r="P1076" s="299" t="s">
        <v>15857</v>
      </c>
      <c r="Q1076" s="300" t="s">
        <v>15855</v>
      </c>
      <c r="R1076" s="182" t="str">
        <f ca="1">IF(ISERROR($V1076),"",OFFSET('Smelter Look-up'!$C$4,$V1076-4,0)&amp;"")</f>
        <v>PT Menara Cipta Mulia</v>
      </c>
      <c r="S1076" s="181" t="str">
        <f t="shared" ca="1" si="149"/>
        <v>ID</v>
      </c>
      <c r="T1076" s="181" t="str">
        <f ca="1">IF(B1076="","",IF(ISERROR(MATCH($J1076,SorP!$B$1:$B$6226,0)),"",INDIRECT("'SorP'!$A$"&amp;MATCH($S1076&amp;$J1076,SorP!C:C,0))))</f>
        <v>ID-BB</v>
      </c>
      <c r="U1076" s="201"/>
      <c r="V1076" s="226">
        <f>IF(C1076="",NA(),IF(OR(C1076="Smelter not listed",C1076="Smelter not yet identified"),MATCH($B1076&amp;$D1076,'Smelter Look-up'!$J:$J,0),MATCH($B1076&amp;$C1076,'Smelter Look-up'!$J:$J,0)))</f>
        <v>516</v>
      </c>
      <c r="X1076" s="227">
        <f t="shared" si="150"/>
        <v>0</v>
      </c>
      <c r="AB1076" s="228" t="str">
        <f t="shared" si="151"/>
        <v>TinPT Menara Cipta Mulia</v>
      </c>
    </row>
    <row r="1077" spans="1:28" s="227" customFormat="1" ht="54">
      <c r="A1077" s="301" t="s">
        <v>15078</v>
      </c>
      <c r="B1077" s="293" t="s">
        <v>1120</v>
      </c>
      <c r="C1077" s="294" t="s">
        <v>15077</v>
      </c>
      <c r="D1077" s="295" t="s">
        <v>15077</v>
      </c>
      <c r="E1077" s="293" t="s">
        <v>1095</v>
      </c>
      <c r="F1077" s="293" t="s">
        <v>15078</v>
      </c>
      <c r="G1077" s="293" t="s">
        <v>13217</v>
      </c>
      <c r="H1077" s="296" t="s">
        <v>15855</v>
      </c>
      <c r="I1077" s="297" t="s">
        <v>15114</v>
      </c>
      <c r="J1077" s="297" t="s">
        <v>12830</v>
      </c>
      <c r="K1077" s="298" t="s">
        <v>16769</v>
      </c>
      <c r="L1077" s="298" t="s">
        <v>16770</v>
      </c>
      <c r="M1077" s="298" t="s">
        <v>16771</v>
      </c>
      <c r="N1077" s="298" t="s">
        <v>15862</v>
      </c>
      <c r="O1077" s="298" t="s">
        <v>16729</v>
      </c>
      <c r="P1077" s="299" t="s">
        <v>15857</v>
      </c>
      <c r="Q1077" s="300" t="s">
        <v>15855</v>
      </c>
      <c r="R1077" s="182" t="str">
        <f ca="1">IF(ISERROR($V1077),"",OFFSET('Smelter Look-up'!$C$4,$V1077-4,0)&amp;"")</f>
        <v>PT Menara Cipta Mulia</v>
      </c>
      <c r="S1077" s="181" t="str">
        <f t="shared" ca="1" si="149"/>
        <v>ID</v>
      </c>
      <c r="T1077" s="181" t="str">
        <f ca="1">IF(B1077="","",IF(ISERROR(MATCH($J1077,SorP!$B$1:$B$6226,0)),"",INDIRECT("'SorP'!$A$"&amp;MATCH($S1077&amp;$J1077,SorP!C:C,0))))</f>
        <v>ID-BB</v>
      </c>
      <c r="U1077" s="201"/>
      <c r="V1077" s="226">
        <f>IF(C1077="",NA(),IF(OR(C1077="Smelter not listed",C1077="Smelter not yet identified"),MATCH($B1077&amp;$D1077,'Smelter Look-up'!$J:$J,0),MATCH($B1077&amp;$C1077,'Smelter Look-up'!$J:$J,0)))</f>
        <v>516</v>
      </c>
      <c r="X1077" s="227">
        <f t="shared" si="150"/>
        <v>0</v>
      </c>
      <c r="AB1077" s="228" t="str">
        <f t="shared" si="151"/>
        <v>TinPT Menara Cipta Mulia</v>
      </c>
    </row>
    <row r="1078" spans="1:28" s="227" customFormat="1" ht="54">
      <c r="A1078" s="301" t="s">
        <v>15078</v>
      </c>
      <c r="B1078" s="293" t="s">
        <v>1120</v>
      </c>
      <c r="C1078" s="294" t="s">
        <v>15077</v>
      </c>
      <c r="D1078" s="295" t="s">
        <v>15077</v>
      </c>
      <c r="E1078" s="293" t="s">
        <v>1095</v>
      </c>
      <c r="F1078" s="293" t="s">
        <v>15078</v>
      </c>
      <c r="G1078" s="293" t="s">
        <v>13217</v>
      </c>
      <c r="H1078" s="302" t="s">
        <v>15880</v>
      </c>
      <c r="I1078" s="297" t="s">
        <v>15114</v>
      </c>
      <c r="J1078" s="297" t="s">
        <v>12830</v>
      </c>
      <c r="K1078" s="298" t="s">
        <v>15855</v>
      </c>
      <c r="L1078" s="298" t="s">
        <v>15855</v>
      </c>
      <c r="M1078" s="298" t="s">
        <v>15855</v>
      </c>
      <c r="N1078" s="298" t="s">
        <v>15855</v>
      </c>
      <c r="O1078" s="298" t="s">
        <v>15855</v>
      </c>
      <c r="P1078" s="299" t="s">
        <v>15857</v>
      </c>
      <c r="Q1078" s="300" t="s">
        <v>15855</v>
      </c>
      <c r="R1078" s="182" t="str">
        <f ca="1">IF(ISERROR($V1078),"",OFFSET('Smelter Look-up'!$C$4,$V1078-4,0)&amp;"")</f>
        <v>PT Menara Cipta Mulia</v>
      </c>
      <c r="S1078" s="181" t="str">
        <f t="shared" ca="1" si="149"/>
        <v>ID</v>
      </c>
      <c r="T1078" s="181" t="str">
        <f ca="1">IF(B1078="","",IF(ISERROR(MATCH($J1078,SorP!$B$1:$B$6226,0)),"",INDIRECT("'SorP'!$A$"&amp;MATCH($S1078&amp;$J1078,SorP!C:C,0))))</f>
        <v>ID-BB</v>
      </c>
      <c r="U1078" s="201"/>
      <c r="V1078" s="226">
        <f>IF(C1078="",NA(),IF(OR(C1078="Smelter not listed",C1078="Smelter not yet identified"),MATCH($B1078&amp;$D1078,'Smelter Look-up'!$J:$J,0),MATCH($B1078&amp;$C1078,'Smelter Look-up'!$J:$J,0)))</f>
        <v>516</v>
      </c>
      <c r="X1078" s="227">
        <f t="shared" si="150"/>
        <v>0</v>
      </c>
      <c r="AB1078" s="228" t="str">
        <f t="shared" si="151"/>
        <v>TinPT Menara Cipta Mulia</v>
      </c>
    </row>
    <row r="1079" spans="1:28" s="227" customFormat="1" ht="54">
      <c r="A1079" s="301" t="s">
        <v>15078</v>
      </c>
      <c r="B1079" s="293" t="s">
        <v>1120</v>
      </c>
      <c r="C1079" s="294" t="s">
        <v>15077</v>
      </c>
      <c r="D1079" s="295" t="s">
        <v>15077</v>
      </c>
      <c r="E1079" s="293" t="s">
        <v>1095</v>
      </c>
      <c r="F1079" s="293" t="s">
        <v>15078</v>
      </c>
      <c r="G1079" s="293" t="s">
        <v>13217</v>
      </c>
      <c r="H1079" s="302" t="s">
        <v>15880</v>
      </c>
      <c r="I1079" s="297" t="s">
        <v>15114</v>
      </c>
      <c r="J1079" s="297" t="s">
        <v>12830</v>
      </c>
      <c r="K1079" s="298" t="s">
        <v>15855</v>
      </c>
      <c r="L1079" s="298" t="s">
        <v>15855</v>
      </c>
      <c r="M1079" s="298" t="s">
        <v>15855</v>
      </c>
      <c r="N1079" s="298" t="s">
        <v>16772</v>
      </c>
      <c r="O1079" s="298" t="s">
        <v>16773</v>
      </c>
      <c r="P1079" s="299" t="s">
        <v>15857</v>
      </c>
      <c r="Q1079" s="300" t="s">
        <v>15855</v>
      </c>
      <c r="R1079" s="182" t="str">
        <f ca="1">IF(ISERROR($V1079),"",OFFSET('Smelter Look-up'!$C$4,$V1079-4,0)&amp;"")</f>
        <v>PT Menara Cipta Mulia</v>
      </c>
      <c r="S1079" s="181" t="str">
        <f t="shared" ca="1" si="149"/>
        <v>ID</v>
      </c>
      <c r="T1079" s="181" t="str">
        <f ca="1">IF(B1079="","",IF(ISERROR(MATCH($J1079,SorP!$B$1:$B$6226,0)),"",INDIRECT("'SorP'!$A$"&amp;MATCH($S1079&amp;$J1079,SorP!C:C,0))))</f>
        <v>ID-BB</v>
      </c>
      <c r="U1079" s="201"/>
      <c r="V1079" s="226">
        <f>IF(C1079="",NA(),IF(OR(C1079="Smelter not listed",C1079="Smelter not yet identified"),MATCH($B1079&amp;$D1079,'Smelter Look-up'!$J:$J,0),MATCH($B1079&amp;$C1079,'Smelter Look-up'!$J:$J,0)))</f>
        <v>516</v>
      </c>
      <c r="X1079" s="227">
        <f t="shared" si="150"/>
        <v>0</v>
      </c>
      <c r="AB1079" s="228" t="str">
        <f t="shared" si="151"/>
        <v>TinPT Menara Cipta Mulia</v>
      </c>
    </row>
    <row r="1080" spans="1:28" s="227" customFormat="1" ht="54">
      <c r="A1080" s="301" t="s">
        <v>15078</v>
      </c>
      <c r="B1080" s="293" t="s">
        <v>1120</v>
      </c>
      <c r="C1080" s="294" t="s">
        <v>15077</v>
      </c>
      <c r="D1080" s="295" t="s">
        <v>15077</v>
      </c>
      <c r="E1080" s="293" t="s">
        <v>1095</v>
      </c>
      <c r="F1080" s="293" t="s">
        <v>15078</v>
      </c>
      <c r="G1080" s="293" t="s">
        <v>13217</v>
      </c>
      <c r="H1080" s="296" t="s">
        <v>16774</v>
      </c>
      <c r="I1080" s="297" t="s">
        <v>15114</v>
      </c>
      <c r="J1080" s="297" t="s">
        <v>12830</v>
      </c>
      <c r="K1080" s="298" t="s">
        <v>15855</v>
      </c>
      <c r="L1080" s="298" t="s">
        <v>15855</v>
      </c>
      <c r="M1080" s="298" t="s">
        <v>16562</v>
      </c>
      <c r="N1080" s="298" t="s">
        <v>15855</v>
      </c>
      <c r="O1080" s="298" t="s">
        <v>15855</v>
      </c>
      <c r="P1080" s="299" t="s">
        <v>15857</v>
      </c>
      <c r="Q1080" s="300" t="s">
        <v>15855</v>
      </c>
      <c r="R1080" s="182" t="str">
        <f ca="1">IF(ISERROR($V1080),"",OFFSET('Smelter Look-up'!$C$4,$V1080-4,0)&amp;"")</f>
        <v>PT Menara Cipta Mulia</v>
      </c>
      <c r="S1080" s="181" t="str">
        <f t="shared" ca="1" si="149"/>
        <v>ID</v>
      </c>
      <c r="T1080" s="181" t="str">
        <f ca="1">IF(B1080="","",IF(ISERROR(MATCH($J1080,SorP!$B$1:$B$6226,0)),"",INDIRECT("'SorP'!$A$"&amp;MATCH($S1080&amp;$J1080,SorP!C:C,0))))</f>
        <v>ID-BB</v>
      </c>
      <c r="U1080" s="201"/>
      <c r="V1080" s="226">
        <f>IF(C1080="",NA(),IF(OR(C1080="Smelter not listed",C1080="Smelter not yet identified"),MATCH($B1080&amp;$D1080,'Smelter Look-up'!$J:$J,0),MATCH($B1080&amp;$C1080,'Smelter Look-up'!$J:$J,0)))</f>
        <v>516</v>
      </c>
      <c r="X1080" s="227">
        <f t="shared" si="150"/>
        <v>0</v>
      </c>
      <c r="AB1080" s="228" t="str">
        <f t="shared" si="151"/>
        <v>TinPT Menara Cipta Mulia</v>
      </c>
    </row>
    <row r="1081" spans="1:28" s="227" customFormat="1" ht="54">
      <c r="A1081" s="301" t="s">
        <v>774</v>
      </c>
      <c r="B1081" s="293" t="s">
        <v>1120</v>
      </c>
      <c r="C1081" s="294" t="s">
        <v>623</v>
      </c>
      <c r="D1081" s="295" t="s">
        <v>623</v>
      </c>
      <c r="E1081" s="293" t="s">
        <v>1095</v>
      </c>
      <c r="F1081" s="293" t="s">
        <v>774</v>
      </c>
      <c r="G1081" s="293" t="s">
        <v>15865</v>
      </c>
      <c r="H1081" s="296" t="s">
        <v>15855</v>
      </c>
      <c r="I1081" s="297" t="s">
        <v>1753</v>
      </c>
      <c r="J1081" s="297" t="s">
        <v>16738</v>
      </c>
      <c r="K1081" s="298" t="s">
        <v>15855</v>
      </c>
      <c r="L1081" s="298" t="s">
        <v>15855</v>
      </c>
      <c r="M1081" s="298" t="s">
        <v>15855</v>
      </c>
      <c r="N1081" s="298" t="s">
        <v>15855</v>
      </c>
      <c r="O1081" s="298" t="s">
        <v>15855</v>
      </c>
      <c r="P1081" s="299" t="s">
        <v>15857</v>
      </c>
      <c r="Q1081" s="300" t="s">
        <v>15855</v>
      </c>
      <c r="R1081" s="182" t="str">
        <f ca="1">IF(ISERROR($V1081),"",OFFSET('Smelter Look-up'!$C$4,$V1081-4,0)&amp;"")</f>
        <v>PT Mitra Stania Prima</v>
      </c>
      <c r="S1081" s="181" t="str">
        <f t="shared" ca="1" si="149"/>
        <v>ID</v>
      </c>
      <c r="T1081" s="181" t="str">
        <f ca="1">IF(B1081="","",IF(ISERROR(MATCH($J1081,SorP!$B$1:$B$6226,0)),"",INDIRECT("'SorP'!$A$"&amp;MATCH($S1081&amp;$J1081,SorP!C:C,0))))</f>
        <v/>
      </c>
      <c r="U1081" s="201"/>
      <c r="V1081" s="226">
        <f>IF(C1081="",NA(),IF(OR(C1081="Smelter not listed",C1081="Smelter not yet identified"),MATCH($B1081&amp;$D1081,'Smelter Look-up'!$J:$J,0),MATCH($B1081&amp;$C1081,'Smelter Look-up'!$J:$J,0)))</f>
        <v>518</v>
      </c>
      <c r="X1081" s="227">
        <f t="shared" si="150"/>
        <v>0</v>
      </c>
      <c r="AB1081" s="228" t="str">
        <f t="shared" si="151"/>
        <v>TinPT Mitra Stania Prima</v>
      </c>
    </row>
    <row r="1082" spans="1:28" s="227" customFormat="1" ht="54">
      <c r="A1082" s="301" t="s">
        <v>774</v>
      </c>
      <c r="B1082" s="293" t="s">
        <v>1120</v>
      </c>
      <c r="C1082" s="294" t="s">
        <v>623</v>
      </c>
      <c r="D1082" s="295" t="s">
        <v>623</v>
      </c>
      <c r="E1082" s="293" t="s">
        <v>1095</v>
      </c>
      <c r="F1082" s="293" t="s">
        <v>774</v>
      </c>
      <c r="G1082" s="293" t="s">
        <v>13217</v>
      </c>
      <c r="H1082" s="296" t="s">
        <v>15855</v>
      </c>
      <c r="I1082" s="297" t="s">
        <v>1753</v>
      </c>
      <c r="J1082" s="297" t="s">
        <v>12830</v>
      </c>
      <c r="K1082" s="298" t="s">
        <v>15855</v>
      </c>
      <c r="L1082" s="298" t="s">
        <v>15855</v>
      </c>
      <c r="M1082" s="298" t="s">
        <v>15855</v>
      </c>
      <c r="N1082" s="298" t="s">
        <v>15855</v>
      </c>
      <c r="O1082" s="298" t="s">
        <v>15855</v>
      </c>
      <c r="P1082" s="299" t="s">
        <v>15857</v>
      </c>
      <c r="Q1082" s="300" t="s">
        <v>15855</v>
      </c>
      <c r="R1082" s="182" t="str">
        <f ca="1">IF(ISERROR($V1082),"",OFFSET('Smelter Look-up'!$C$4,$V1082-4,0)&amp;"")</f>
        <v>PT Mitra Stania Prima</v>
      </c>
      <c r="S1082" s="181" t="str">
        <f t="shared" ca="1" si="149"/>
        <v>ID</v>
      </c>
      <c r="T1082" s="181" t="str">
        <f ca="1">IF(B1082="","",IF(ISERROR(MATCH($J1082,SorP!$B$1:$B$6226,0)),"",INDIRECT("'SorP'!$A$"&amp;MATCH($S1082&amp;$J1082,SorP!C:C,0))))</f>
        <v>ID-BB</v>
      </c>
      <c r="U1082" s="201"/>
      <c r="V1082" s="226">
        <f>IF(C1082="",NA(),IF(OR(C1082="Smelter not listed",C1082="Smelter not yet identified"),MATCH($B1082&amp;$D1082,'Smelter Look-up'!$J:$J,0),MATCH($B1082&amp;$C1082,'Smelter Look-up'!$J:$J,0)))</f>
        <v>518</v>
      </c>
      <c r="X1082" s="227">
        <f t="shared" si="150"/>
        <v>0</v>
      </c>
      <c r="AB1082" s="228" t="str">
        <f t="shared" si="151"/>
        <v>TinPT Mitra Stania Prima</v>
      </c>
    </row>
    <row r="1083" spans="1:28" s="227" customFormat="1" ht="54">
      <c r="A1083" s="301" t="s">
        <v>774</v>
      </c>
      <c r="B1083" s="293" t="s">
        <v>1120</v>
      </c>
      <c r="C1083" s="294" t="s">
        <v>623</v>
      </c>
      <c r="D1083" s="295" t="s">
        <v>623</v>
      </c>
      <c r="E1083" s="293" t="s">
        <v>1095</v>
      </c>
      <c r="F1083" s="293" t="s">
        <v>774</v>
      </c>
      <c r="G1083" s="293" t="s">
        <v>13217</v>
      </c>
      <c r="H1083" s="296" t="s">
        <v>15855</v>
      </c>
      <c r="I1083" s="297" t="s">
        <v>1753</v>
      </c>
      <c r="J1083" s="297" t="s">
        <v>12830</v>
      </c>
      <c r="K1083" s="298" t="s">
        <v>15855</v>
      </c>
      <c r="L1083" s="298" t="s">
        <v>15855</v>
      </c>
      <c r="M1083" s="298" t="s">
        <v>15855</v>
      </c>
      <c r="N1083" s="298" t="s">
        <v>15855</v>
      </c>
      <c r="O1083" s="298" t="s">
        <v>15855</v>
      </c>
      <c r="P1083" s="299" t="s">
        <v>15857</v>
      </c>
      <c r="Q1083" s="300" t="s">
        <v>16531</v>
      </c>
      <c r="R1083" s="182" t="str">
        <f ca="1">IF(ISERROR($V1083),"",OFFSET('Smelter Look-up'!$C$4,$V1083-4,0)&amp;"")</f>
        <v>PT Mitra Stania Prima</v>
      </c>
      <c r="S1083" s="181" t="str">
        <f t="shared" ref="S1083" ca="1" si="152">IF(B1083="","",IF(ISERROR(MATCH($E1083,CL,0)),"Unknown",INDIRECT("'C'!$A$"&amp;MATCH($E1083,CL,0)+1)))</f>
        <v>ID</v>
      </c>
      <c r="T1083" s="181" t="str">
        <f ca="1">IF(B1083="","",IF(ISERROR(MATCH($J1083,SorP!$B$1:$B$6226,0)),"",INDIRECT("'SorP'!$A$"&amp;MATCH($S1083&amp;$J1083,SorP!C:C,0))))</f>
        <v>ID-BB</v>
      </c>
      <c r="U1083" s="201"/>
      <c r="V1083" s="226">
        <f>IF(C1083="",NA(),IF(OR(C1083="Smelter not listed",C1083="Smelter not yet identified"),MATCH($B1083&amp;$D1083,'Smelter Look-up'!$J:$J,0),MATCH($B1083&amp;$C1083,'Smelter Look-up'!$J:$J,0)))</f>
        <v>518</v>
      </c>
      <c r="X1083" s="227">
        <f t="shared" ref="X1083" si="153">IF(AND(C1083="Smelter not listed",OR(LEN(D1083)=0,LEN(E1083)=0)),1,0)</f>
        <v>0</v>
      </c>
      <c r="AB1083" s="228" t="str">
        <f t="shared" ref="AB1083" si="154">B1083&amp;C1083</f>
        <v>TinPT Mitra Stania Prima</v>
      </c>
    </row>
    <row r="1084" spans="1:28" s="227" customFormat="1" ht="54">
      <c r="A1084" s="301" t="s">
        <v>774</v>
      </c>
      <c r="B1084" s="293" t="s">
        <v>1120</v>
      </c>
      <c r="C1084" s="294" t="s">
        <v>623</v>
      </c>
      <c r="D1084" s="295" t="s">
        <v>623</v>
      </c>
      <c r="E1084" s="293" t="s">
        <v>1095</v>
      </c>
      <c r="F1084" s="293" t="s">
        <v>774</v>
      </c>
      <c r="G1084" s="293" t="s">
        <v>13217</v>
      </c>
      <c r="H1084" s="296" t="s">
        <v>15855</v>
      </c>
      <c r="I1084" s="297" t="s">
        <v>1753</v>
      </c>
      <c r="J1084" s="297" t="s">
        <v>12830</v>
      </c>
      <c r="K1084" s="298" t="s">
        <v>15855</v>
      </c>
      <c r="L1084" s="298" t="s">
        <v>15855</v>
      </c>
      <c r="M1084" s="298" t="s">
        <v>15855</v>
      </c>
      <c r="N1084" s="298" t="s">
        <v>15855</v>
      </c>
      <c r="O1084" s="298" t="s">
        <v>16731</v>
      </c>
      <c r="P1084" s="299" t="s">
        <v>15857</v>
      </c>
      <c r="Q1084" s="300" t="s">
        <v>15855</v>
      </c>
      <c r="R1084" s="182" t="str">
        <f ca="1">IF(ISERROR($V1084),"",OFFSET('Smelter Look-up'!$C$4,$V1084-4,0)&amp;"")</f>
        <v>PT Mitra Stania Prima</v>
      </c>
      <c r="S1084" s="181" t="str">
        <f t="shared" ref="S1084:S1115" ca="1" si="155">IF(B1084="","",IF(ISERROR(MATCH($E1084,CL,0)),"Unknown",INDIRECT("'C'!$A$"&amp;MATCH($E1084,CL,0)+1)))</f>
        <v>ID</v>
      </c>
      <c r="T1084" s="181" t="str">
        <f ca="1">IF(B1084="","",IF(ISERROR(MATCH($J1084,SorP!$B$1:$B$6226,0)),"",INDIRECT("'SorP'!$A$"&amp;MATCH($S1084&amp;$J1084,SorP!C:C,0))))</f>
        <v>ID-BB</v>
      </c>
      <c r="U1084" s="201"/>
      <c r="V1084" s="226">
        <f>IF(C1084="",NA(),IF(OR(C1084="Smelter not listed",C1084="Smelter not yet identified"),MATCH($B1084&amp;$D1084,'Smelter Look-up'!$J:$J,0),MATCH($B1084&amp;$C1084,'Smelter Look-up'!$J:$J,0)))</f>
        <v>518</v>
      </c>
      <c r="X1084" s="227">
        <f t="shared" ref="X1084:X1115" si="156">IF(AND(C1084="Smelter not listed",OR(LEN(D1084)=0,LEN(E1084)=0)),1,0)</f>
        <v>0</v>
      </c>
      <c r="AB1084" s="228" t="str">
        <f t="shared" ref="AB1084:AB1115" si="157">B1084&amp;C1084</f>
        <v>TinPT Mitra Stania Prima</v>
      </c>
    </row>
    <row r="1085" spans="1:28" s="227" customFormat="1" ht="54">
      <c r="A1085" s="301" t="s">
        <v>774</v>
      </c>
      <c r="B1085" s="293" t="s">
        <v>1120</v>
      </c>
      <c r="C1085" s="294" t="s">
        <v>623</v>
      </c>
      <c r="D1085" s="295" t="s">
        <v>623</v>
      </c>
      <c r="E1085" s="293" t="s">
        <v>1095</v>
      </c>
      <c r="F1085" s="293" t="s">
        <v>774</v>
      </c>
      <c r="G1085" s="293" t="s">
        <v>13217</v>
      </c>
      <c r="H1085" s="296" t="s">
        <v>15855</v>
      </c>
      <c r="I1085" s="297" t="s">
        <v>1753</v>
      </c>
      <c r="J1085" s="297" t="s">
        <v>12830</v>
      </c>
      <c r="K1085" s="298" t="s">
        <v>16775</v>
      </c>
      <c r="L1085" s="298" t="s">
        <v>16776</v>
      </c>
      <c r="M1085" s="298" t="s">
        <v>16777</v>
      </c>
      <c r="N1085" s="298" t="s">
        <v>16778</v>
      </c>
      <c r="O1085" s="298" t="s">
        <v>16779</v>
      </c>
      <c r="P1085" s="299" t="s">
        <v>15857</v>
      </c>
      <c r="Q1085" s="300" t="s">
        <v>15855</v>
      </c>
      <c r="R1085" s="182" t="str">
        <f ca="1">IF(ISERROR($V1085),"",OFFSET('Smelter Look-up'!$C$4,$V1085-4,0)&amp;"")</f>
        <v>PT Mitra Stania Prima</v>
      </c>
      <c r="S1085" s="181" t="str">
        <f t="shared" ca="1" si="155"/>
        <v>ID</v>
      </c>
      <c r="T1085" s="181" t="str">
        <f ca="1">IF(B1085="","",IF(ISERROR(MATCH($J1085,SorP!$B$1:$B$6226,0)),"",INDIRECT("'SorP'!$A$"&amp;MATCH($S1085&amp;$J1085,SorP!C:C,0))))</f>
        <v>ID-BB</v>
      </c>
      <c r="U1085" s="201"/>
      <c r="V1085" s="226">
        <f>IF(C1085="",NA(),IF(OR(C1085="Smelter not listed",C1085="Smelter not yet identified"),MATCH($B1085&amp;$D1085,'Smelter Look-up'!$J:$J,0),MATCH($B1085&amp;$C1085,'Smelter Look-up'!$J:$J,0)))</f>
        <v>518</v>
      </c>
      <c r="X1085" s="227">
        <f t="shared" si="156"/>
        <v>0</v>
      </c>
      <c r="AB1085" s="228" t="str">
        <f t="shared" si="157"/>
        <v>TinPT Mitra Stania Prima</v>
      </c>
    </row>
    <row r="1086" spans="1:28" s="227" customFormat="1" ht="54">
      <c r="A1086" s="301" t="s">
        <v>774</v>
      </c>
      <c r="B1086" s="293" t="s">
        <v>1120</v>
      </c>
      <c r="C1086" s="294" t="s">
        <v>623</v>
      </c>
      <c r="D1086" s="295" t="s">
        <v>623</v>
      </c>
      <c r="E1086" s="293" t="s">
        <v>1095</v>
      </c>
      <c r="F1086" s="293" t="s">
        <v>774</v>
      </c>
      <c r="G1086" s="293" t="s">
        <v>13217</v>
      </c>
      <c r="H1086" s="302" t="s">
        <v>15880</v>
      </c>
      <c r="I1086" s="297" t="s">
        <v>1753</v>
      </c>
      <c r="J1086" s="297" t="s">
        <v>12830</v>
      </c>
      <c r="K1086" s="298" t="s">
        <v>15855</v>
      </c>
      <c r="L1086" s="298" t="s">
        <v>15855</v>
      </c>
      <c r="M1086" s="298" t="s">
        <v>15855</v>
      </c>
      <c r="N1086" s="298" t="s">
        <v>15855</v>
      </c>
      <c r="O1086" s="298" t="s">
        <v>15855</v>
      </c>
      <c r="P1086" s="299" t="s">
        <v>15857</v>
      </c>
      <c r="Q1086" s="300" t="s">
        <v>15855</v>
      </c>
      <c r="R1086" s="182" t="str">
        <f ca="1">IF(ISERROR($V1086),"",OFFSET('Smelter Look-up'!$C$4,$V1086-4,0)&amp;"")</f>
        <v>PT Mitra Stania Prima</v>
      </c>
      <c r="S1086" s="181" t="str">
        <f t="shared" ca="1" si="155"/>
        <v>ID</v>
      </c>
      <c r="T1086" s="181" t="str">
        <f ca="1">IF(B1086="","",IF(ISERROR(MATCH($J1086,SorP!$B$1:$B$6226,0)),"",INDIRECT("'SorP'!$A$"&amp;MATCH($S1086&amp;$J1086,SorP!C:C,0))))</f>
        <v>ID-BB</v>
      </c>
      <c r="U1086" s="201"/>
      <c r="V1086" s="226">
        <f>IF(C1086="",NA(),IF(OR(C1086="Smelter not listed",C1086="Smelter not yet identified"),MATCH($B1086&amp;$D1086,'Smelter Look-up'!$J:$J,0),MATCH($B1086&amp;$C1086,'Smelter Look-up'!$J:$J,0)))</f>
        <v>518</v>
      </c>
      <c r="X1086" s="227">
        <f t="shared" si="156"/>
        <v>0</v>
      </c>
      <c r="AB1086" s="228" t="str">
        <f t="shared" si="157"/>
        <v>TinPT Mitra Stania Prima</v>
      </c>
    </row>
    <row r="1087" spans="1:28" s="227" customFormat="1" ht="54">
      <c r="A1087" s="301" t="s">
        <v>774</v>
      </c>
      <c r="B1087" s="293" t="s">
        <v>1120</v>
      </c>
      <c r="C1087" s="294" t="s">
        <v>623</v>
      </c>
      <c r="D1087" s="295" t="s">
        <v>623</v>
      </c>
      <c r="E1087" s="293" t="s">
        <v>1095</v>
      </c>
      <c r="F1087" s="293" t="s">
        <v>774</v>
      </c>
      <c r="G1087" s="293" t="s">
        <v>13217</v>
      </c>
      <c r="H1087" s="302" t="s">
        <v>15880</v>
      </c>
      <c r="I1087" s="297" t="s">
        <v>1753</v>
      </c>
      <c r="J1087" s="297" t="s">
        <v>12830</v>
      </c>
      <c r="K1087" s="298" t="s">
        <v>15855</v>
      </c>
      <c r="L1087" s="298" t="s">
        <v>15855</v>
      </c>
      <c r="M1087" s="298" t="s">
        <v>15855</v>
      </c>
      <c r="N1087" s="298" t="s">
        <v>16780</v>
      </c>
      <c r="O1087" s="298" t="s">
        <v>12830</v>
      </c>
      <c r="P1087" s="299" t="s">
        <v>15857</v>
      </c>
      <c r="Q1087" s="300" t="s">
        <v>15855</v>
      </c>
      <c r="R1087" s="182" t="str">
        <f ca="1">IF(ISERROR($V1087),"",OFFSET('Smelter Look-up'!$C$4,$V1087-4,0)&amp;"")</f>
        <v>PT Mitra Stania Prima</v>
      </c>
      <c r="S1087" s="181" t="str">
        <f t="shared" ca="1" si="155"/>
        <v>ID</v>
      </c>
      <c r="T1087" s="181" t="str">
        <f ca="1">IF(B1087="","",IF(ISERROR(MATCH($J1087,SorP!$B$1:$B$6226,0)),"",INDIRECT("'SorP'!$A$"&amp;MATCH($S1087&amp;$J1087,SorP!C:C,0))))</f>
        <v>ID-BB</v>
      </c>
      <c r="U1087" s="201"/>
      <c r="V1087" s="226">
        <f>IF(C1087="",NA(),IF(OR(C1087="Smelter not listed",C1087="Smelter not yet identified"),MATCH($B1087&amp;$D1087,'Smelter Look-up'!$J:$J,0),MATCH($B1087&amp;$C1087,'Smelter Look-up'!$J:$J,0)))</f>
        <v>518</v>
      </c>
      <c r="X1087" s="227">
        <f t="shared" si="156"/>
        <v>0</v>
      </c>
      <c r="AB1087" s="228" t="str">
        <f t="shared" si="157"/>
        <v>TinPT Mitra Stania Prima</v>
      </c>
    </row>
    <row r="1088" spans="1:28" s="227" customFormat="1" ht="54">
      <c r="A1088" s="301" t="s">
        <v>774</v>
      </c>
      <c r="B1088" s="293" t="s">
        <v>1120</v>
      </c>
      <c r="C1088" s="294" t="s">
        <v>623</v>
      </c>
      <c r="D1088" s="295" t="s">
        <v>623</v>
      </c>
      <c r="E1088" s="293" t="s">
        <v>1095</v>
      </c>
      <c r="F1088" s="293" t="s">
        <v>774</v>
      </c>
      <c r="G1088" s="293" t="s">
        <v>13217</v>
      </c>
      <c r="H1088" s="296" t="s">
        <v>16781</v>
      </c>
      <c r="I1088" s="297" t="s">
        <v>1753</v>
      </c>
      <c r="J1088" s="297" t="s">
        <v>12830</v>
      </c>
      <c r="K1088" s="298" t="s">
        <v>16782</v>
      </c>
      <c r="L1088" s="298" t="s">
        <v>16783</v>
      </c>
      <c r="M1088" s="298" t="s">
        <v>16562</v>
      </c>
      <c r="N1088" s="298" t="s">
        <v>16778</v>
      </c>
      <c r="O1088" s="298" t="s">
        <v>16784</v>
      </c>
      <c r="P1088" s="299" t="s">
        <v>15857</v>
      </c>
      <c r="Q1088" s="300" t="s">
        <v>15855</v>
      </c>
      <c r="R1088" s="182" t="str">
        <f ca="1">IF(ISERROR($V1088),"",OFFSET('Smelter Look-up'!$C$4,$V1088-4,0)&amp;"")</f>
        <v>PT Mitra Stania Prima</v>
      </c>
      <c r="S1088" s="181" t="str">
        <f t="shared" ca="1" si="155"/>
        <v>ID</v>
      </c>
      <c r="T1088" s="181" t="str">
        <f ca="1">IF(B1088="","",IF(ISERROR(MATCH($J1088,SorP!$B$1:$B$6226,0)),"",INDIRECT("'SorP'!$A$"&amp;MATCH($S1088&amp;$J1088,SorP!C:C,0))))</f>
        <v>ID-BB</v>
      </c>
      <c r="U1088" s="201"/>
      <c r="V1088" s="226">
        <f>IF(C1088="",NA(),IF(OR(C1088="Smelter not listed",C1088="Smelter not yet identified"),MATCH($B1088&amp;$D1088,'Smelter Look-up'!$J:$J,0),MATCH($B1088&amp;$C1088,'Smelter Look-up'!$J:$J,0)))</f>
        <v>518</v>
      </c>
      <c r="X1088" s="227">
        <f t="shared" si="156"/>
        <v>0</v>
      </c>
      <c r="AB1088" s="228" t="str">
        <f t="shared" si="157"/>
        <v>TinPT Mitra Stania Prima</v>
      </c>
    </row>
    <row r="1089" spans="1:28" s="227" customFormat="1" ht="67.5">
      <c r="A1089" s="301" t="s">
        <v>13841</v>
      </c>
      <c r="B1089" s="293" t="s">
        <v>1120</v>
      </c>
      <c r="C1089" s="294" t="s">
        <v>13827</v>
      </c>
      <c r="D1089" s="295" t="s">
        <v>13827</v>
      </c>
      <c r="E1089" s="293" t="s">
        <v>1095</v>
      </c>
      <c r="F1089" s="293" t="s">
        <v>13841</v>
      </c>
      <c r="G1089" s="293" t="s">
        <v>13217</v>
      </c>
      <c r="H1089" s="296" t="s">
        <v>15855</v>
      </c>
      <c r="I1089" s="297" t="s">
        <v>15113</v>
      </c>
      <c r="J1089" s="297" t="s">
        <v>12830</v>
      </c>
      <c r="K1089" s="298" t="s">
        <v>15855</v>
      </c>
      <c r="L1089" s="298" t="s">
        <v>15855</v>
      </c>
      <c r="M1089" s="298" t="s">
        <v>15855</v>
      </c>
      <c r="N1089" s="298" t="s">
        <v>15855</v>
      </c>
      <c r="O1089" s="298" t="s">
        <v>15855</v>
      </c>
      <c r="P1089" s="299" t="s">
        <v>15857</v>
      </c>
      <c r="Q1089" s="300" t="s">
        <v>15855</v>
      </c>
      <c r="R1089" s="182" t="str">
        <f ca="1">IF(ISERROR($V1089),"",OFFSET('Smelter Look-up'!$C$4,$V1089-4,0)&amp;"")</f>
        <v>PT Mitra Sukses Globalindo</v>
      </c>
      <c r="S1089" s="181" t="str">
        <f t="shared" ca="1" si="155"/>
        <v>ID</v>
      </c>
      <c r="T1089" s="181" t="str">
        <f ca="1">IF(B1089="","",IF(ISERROR(MATCH($J1089,SorP!$B$1:$B$6226,0)),"",INDIRECT("'SorP'!$A$"&amp;MATCH($S1089&amp;$J1089,SorP!C:C,0))))</f>
        <v>ID-BB</v>
      </c>
      <c r="U1089" s="201"/>
      <c r="V1089" s="226">
        <f>IF(C1089="",NA(),IF(OR(C1089="Smelter not listed",C1089="Smelter not yet identified"),MATCH($B1089&amp;$D1089,'Smelter Look-up'!$J:$J,0),MATCH($B1089&amp;$C1089,'Smelter Look-up'!$J:$J,0)))</f>
        <v>519</v>
      </c>
      <c r="X1089" s="227">
        <f t="shared" si="156"/>
        <v>0</v>
      </c>
      <c r="AB1089" s="228" t="str">
        <f t="shared" si="157"/>
        <v>TinPT Mitra Sukses Globalindo</v>
      </c>
    </row>
    <row r="1090" spans="1:28" s="227" customFormat="1" ht="67.5">
      <c r="A1090" s="301" t="s">
        <v>13841</v>
      </c>
      <c r="B1090" s="293" t="s">
        <v>1120</v>
      </c>
      <c r="C1090" s="294" t="s">
        <v>13827</v>
      </c>
      <c r="D1090" s="295" t="s">
        <v>13827</v>
      </c>
      <c r="E1090" s="293" t="s">
        <v>1095</v>
      </c>
      <c r="F1090" s="293" t="s">
        <v>13841</v>
      </c>
      <c r="G1090" s="293" t="s">
        <v>13217</v>
      </c>
      <c r="H1090" s="296" t="s">
        <v>15855</v>
      </c>
      <c r="I1090" s="297" t="s">
        <v>15113</v>
      </c>
      <c r="J1090" s="297" t="s">
        <v>12830</v>
      </c>
      <c r="K1090" s="298" t="s">
        <v>15855</v>
      </c>
      <c r="L1090" s="298" t="s">
        <v>15855</v>
      </c>
      <c r="M1090" s="298" t="s">
        <v>15855</v>
      </c>
      <c r="N1090" s="298" t="s">
        <v>15855</v>
      </c>
      <c r="O1090" s="298" t="s">
        <v>15858</v>
      </c>
      <c r="P1090" s="299" t="s">
        <v>15857</v>
      </c>
      <c r="Q1090" s="300" t="s">
        <v>15855</v>
      </c>
      <c r="R1090" s="182" t="str">
        <f ca="1">IF(ISERROR($V1090),"",OFFSET('Smelter Look-up'!$C$4,$V1090-4,0)&amp;"")</f>
        <v>PT Mitra Sukses Globalindo</v>
      </c>
      <c r="S1090" s="181" t="str">
        <f t="shared" ca="1" si="155"/>
        <v>ID</v>
      </c>
      <c r="T1090" s="181" t="str">
        <f ca="1">IF(B1090="","",IF(ISERROR(MATCH($J1090,SorP!$B$1:$B$6226,0)),"",INDIRECT("'SorP'!$A$"&amp;MATCH($S1090&amp;$J1090,SorP!C:C,0))))</f>
        <v>ID-BB</v>
      </c>
      <c r="U1090" s="201"/>
      <c r="V1090" s="226">
        <f>IF(C1090="",NA(),IF(OR(C1090="Smelter not listed",C1090="Smelter not yet identified"),MATCH($B1090&amp;$D1090,'Smelter Look-up'!$J:$J,0),MATCH($B1090&amp;$C1090,'Smelter Look-up'!$J:$J,0)))</f>
        <v>519</v>
      </c>
      <c r="X1090" s="227">
        <f t="shared" si="156"/>
        <v>0</v>
      </c>
      <c r="AB1090" s="228" t="str">
        <f t="shared" si="157"/>
        <v>TinPT Mitra Sukses Globalindo</v>
      </c>
    </row>
    <row r="1091" spans="1:28" s="227" customFormat="1" ht="54">
      <c r="A1091" s="301" t="s">
        <v>15453</v>
      </c>
      <c r="B1091" s="293" t="s">
        <v>1120</v>
      </c>
      <c r="C1091" s="294" t="s">
        <v>15452</v>
      </c>
      <c r="D1091" s="295" t="s">
        <v>15452</v>
      </c>
      <c r="E1091" s="293" t="s">
        <v>1095</v>
      </c>
      <c r="F1091" s="293" t="s">
        <v>15453</v>
      </c>
      <c r="G1091" s="293" t="s">
        <v>13217</v>
      </c>
      <c r="H1091" s="296" t="s">
        <v>15855</v>
      </c>
      <c r="I1091" s="297" t="s">
        <v>1753</v>
      </c>
      <c r="J1091" s="297" t="s">
        <v>12830</v>
      </c>
      <c r="K1091" s="298" t="s">
        <v>15855</v>
      </c>
      <c r="L1091" s="298" t="s">
        <v>15855</v>
      </c>
      <c r="M1091" s="298" t="s">
        <v>15855</v>
      </c>
      <c r="N1091" s="298" t="s">
        <v>15855</v>
      </c>
      <c r="O1091" s="298" t="s">
        <v>15855</v>
      </c>
      <c r="P1091" s="299" t="s">
        <v>15857</v>
      </c>
      <c r="Q1091" s="300" t="s">
        <v>16531</v>
      </c>
      <c r="R1091" s="182" t="str">
        <f ca="1">IF(ISERROR($V1091),"",OFFSET('Smelter Look-up'!$C$4,$V1091-4,0)&amp;"")</f>
        <v>PT Panca Mega Persada</v>
      </c>
      <c r="S1091" s="181" t="str">
        <f t="shared" ca="1" si="155"/>
        <v>ID</v>
      </c>
      <c r="T1091" s="181" t="str">
        <f ca="1">IF(B1091="","",IF(ISERROR(MATCH($J1091,SorP!$B$1:$B$6226,0)),"",INDIRECT("'SorP'!$A$"&amp;MATCH($S1091&amp;$J1091,SorP!C:C,0))))</f>
        <v>ID-BB</v>
      </c>
      <c r="U1091" s="201"/>
      <c r="V1091" s="226">
        <f>IF(C1091="",NA(),IF(OR(C1091="Smelter not listed",C1091="Smelter not yet identified"),MATCH($B1091&amp;$D1091,'Smelter Look-up'!$J:$J,0),MATCH($B1091&amp;$C1091,'Smelter Look-up'!$J:$J,0)))</f>
        <v>520</v>
      </c>
      <c r="X1091" s="227">
        <f t="shared" si="156"/>
        <v>0</v>
      </c>
      <c r="AB1091" s="228" t="str">
        <f t="shared" si="157"/>
        <v>TinPT Panca Mega Persada</v>
      </c>
    </row>
    <row r="1092" spans="1:28" s="227" customFormat="1" ht="54">
      <c r="A1092" s="301" t="s">
        <v>15453</v>
      </c>
      <c r="B1092" s="293" t="s">
        <v>1120</v>
      </c>
      <c r="C1092" s="294" t="s">
        <v>15452</v>
      </c>
      <c r="D1092" s="295" t="s">
        <v>15452</v>
      </c>
      <c r="E1092" s="293" t="s">
        <v>1095</v>
      </c>
      <c r="F1092" s="293" t="s">
        <v>15453</v>
      </c>
      <c r="G1092" s="293" t="s">
        <v>13217</v>
      </c>
      <c r="H1092" s="296" t="s">
        <v>15855</v>
      </c>
      <c r="I1092" s="297" t="s">
        <v>1753</v>
      </c>
      <c r="J1092" s="297" t="s">
        <v>12830</v>
      </c>
      <c r="K1092" s="298" t="s">
        <v>15855</v>
      </c>
      <c r="L1092" s="298" t="s">
        <v>15855</v>
      </c>
      <c r="M1092" s="298" t="s">
        <v>15855</v>
      </c>
      <c r="N1092" s="298" t="s">
        <v>15855</v>
      </c>
      <c r="O1092" s="298" t="s">
        <v>15858</v>
      </c>
      <c r="P1092" s="299" t="s">
        <v>15857</v>
      </c>
      <c r="Q1092" s="300" t="s">
        <v>15855</v>
      </c>
      <c r="R1092" s="182" t="str">
        <f ca="1">IF(ISERROR($V1092),"",OFFSET('Smelter Look-up'!$C$4,$V1092-4,0)&amp;"")</f>
        <v>PT Panca Mega Persada</v>
      </c>
      <c r="S1092" s="181" t="str">
        <f t="shared" ca="1" si="155"/>
        <v>ID</v>
      </c>
      <c r="T1092" s="181" t="str">
        <f ca="1">IF(B1092="","",IF(ISERROR(MATCH($J1092,SorP!$B$1:$B$6226,0)),"",INDIRECT("'SorP'!$A$"&amp;MATCH($S1092&amp;$J1092,SorP!C:C,0))))</f>
        <v>ID-BB</v>
      </c>
      <c r="U1092" s="201"/>
      <c r="V1092" s="226">
        <f>IF(C1092="",NA(),IF(OR(C1092="Smelter not listed",C1092="Smelter not yet identified"),MATCH($B1092&amp;$D1092,'Smelter Look-up'!$J:$J,0),MATCH($B1092&amp;$C1092,'Smelter Look-up'!$J:$J,0)))</f>
        <v>520</v>
      </c>
      <c r="X1092" s="227">
        <f t="shared" si="156"/>
        <v>0</v>
      </c>
      <c r="AB1092" s="228" t="str">
        <f t="shared" si="157"/>
        <v>TinPT Panca Mega Persada</v>
      </c>
    </row>
    <row r="1093" spans="1:28" s="227" customFormat="1" ht="54">
      <c r="A1093" s="301" t="s">
        <v>15453</v>
      </c>
      <c r="B1093" s="293" t="s">
        <v>1120</v>
      </c>
      <c r="C1093" s="294" t="s">
        <v>15452</v>
      </c>
      <c r="D1093" s="295" t="s">
        <v>15452</v>
      </c>
      <c r="E1093" s="293" t="s">
        <v>1095</v>
      </c>
      <c r="F1093" s="293" t="s">
        <v>15453</v>
      </c>
      <c r="G1093" s="293" t="s">
        <v>13217</v>
      </c>
      <c r="H1093" s="302" t="s">
        <v>15880</v>
      </c>
      <c r="I1093" s="297" t="s">
        <v>1753</v>
      </c>
      <c r="J1093" s="297" t="s">
        <v>12830</v>
      </c>
      <c r="K1093" s="298" t="s">
        <v>15855</v>
      </c>
      <c r="L1093" s="298" t="s">
        <v>15855</v>
      </c>
      <c r="M1093" s="298" t="s">
        <v>15855</v>
      </c>
      <c r="N1093" s="298" t="s">
        <v>15855</v>
      </c>
      <c r="O1093" s="298" t="s">
        <v>15855</v>
      </c>
      <c r="P1093" s="299" t="s">
        <v>15857</v>
      </c>
      <c r="Q1093" s="300" t="s">
        <v>15855</v>
      </c>
      <c r="R1093" s="182" t="str">
        <f ca="1">IF(ISERROR($V1093),"",OFFSET('Smelter Look-up'!$C$4,$V1093-4,0)&amp;"")</f>
        <v>PT Panca Mega Persada</v>
      </c>
      <c r="S1093" s="181" t="str">
        <f t="shared" ca="1" si="155"/>
        <v>ID</v>
      </c>
      <c r="T1093" s="181" t="str">
        <f ca="1">IF(B1093="","",IF(ISERROR(MATCH($J1093,SorP!$B$1:$B$6226,0)),"",INDIRECT("'SorP'!$A$"&amp;MATCH($S1093&amp;$J1093,SorP!C:C,0))))</f>
        <v>ID-BB</v>
      </c>
      <c r="U1093" s="201"/>
      <c r="V1093" s="226">
        <f>IF(C1093="",NA(),IF(OR(C1093="Smelter not listed",C1093="Smelter not yet identified"),MATCH($B1093&amp;$D1093,'Smelter Look-up'!$J:$J,0),MATCH($B1093&amp;$C1093,'Smelter Look-up'!$J:$J,0)))</f>
        <v>520</v>
      </c>
      <c r="X1093" s="227">
        <f t="shared" si="156"/>
        <v>0</v>
      </c>
      <c r="AB1093" s="228" t="str">
        <f t="shared" si="157"/>
        <v>TinPT Panca Mega Persada</v>
      </c>
    </row>
    <row r="1094" spans="1:28" s="227" customFormat="1" ht="54">
      <c r="A1094" s="301" t="s">
        <v>15086</v>
      </c>
      <c r="B1094" s="293" t="s">
        <v>1120</v>
      </c>
      <c r="C1094" s="294" t="s">
        <v>15085</v>
      </c>
      <c r="D1094" s="295" t="s">
        <v>16785</v>
      </c>
      <c r="E1094" s="293" t="s">
        <v>1095</v>
      </c>
      <c r="F1094" s="293" t="s">
        <v>15086</v>
      </c>
      <c r="G1094" s="293" t="s">
        <v>13217</v>
      </c>
      <c r="H1094" s="296" t="s">
        <v>15855</v>
      </c>
      <c r="I1094" s="297" t="s">
        <v>15116</v>
      </c>
      <c r="J1094" s="297" t="s">
        <v>12830</v>
      </c>
      <c r="K1094" s="298" t="s">
        <v>15855</v>
      </c>
      <c r="L1094" s="298" t="s">
        <v>15855</v>
      </c>
      <c r="M1094" s="298" t="s">
        <v>15855</v>
      </c>
      <c r="N1094" s="298" t="s">
        <v>15855</v>
      </c>
      <c r="O1094" s="298" t="s">
        <v>15858</v>
      </c>
      <c r="P1094" s="299" t="s">
        <v>15857</v>
      </c>
      <c r="Q1094" s="300" t="s">
        <v>15855</v>
      </c>
      <c r="R1094" s="182" t="str">
        <f ca="1">IF(ISERROR($V1094),"",OFFSET('Smelter Look-up'!$C$4,$V1094-4,0)&amp;"")</f>
        <v>PT Timah Nusantara</v>
      </c>
      <c r="S1094" s="181" t="str">
        <f t="shared" ca="1" si="155"/>
        <v>ID</v>
      </c>
      <c r="T1094" s="181" t="str">
        <f ca="1">IF(B1094="","",IF(ISERROR(MATCH($J1094,SorP!$B$1:$B$6226,0)),"",INDIRECT("'SorP'!$A$"&amp;MATCH($S1094&amp;$J1094,SorP!C:C,0))))</f>
        <v>ID-BB</v>
      </c>
      <c r="U1094" s="201"/>
      <c r="V1094" s="226">
        <f>IF(C1094="",NA(),IF(OR(C1094="Smelter not listed",C1094="Smelter not yet identified"),MATCH($B1094&amp;$D1094,'Smelter Look-up'!$J:$J,0),MATCH($B1094&amp;$C1094,'Smelter Look-up'!$J:$J,0)))</f>
        <v>531</v>
      </c>
      <c r="X1094" s="227">
        <f t="shared" si="156"/>
        <v>0</v>
      </c>
      <c r="AB1094" s="228" t="str">
        <f t="shared" si="157"/>
        <v>TinPT Timah Nusantara</v>
      </c>
    </row>
    <row r="1095" spans="1:28" s="227" customFormat="1" ht="67.5">
      <c r="A1095" s="301" t="s">
        <v>15502</v>
      </c>
      <c r="B1095" s="293" t="s">
        <v>1120</v>
      </c>
      <c r="C1095" s="294" t="s">
        <v>15501</v>
      </c>
      <c r="D1095" s="295" t="s">
        <v>15501</v>
      </c>
      <c r="E1095" s="293" t="s">
        <v>1095</v>
      </c>
      <c r="F1095" s="293" t="s">
        <v>15502</v>
      </c>
      <c r="G1095" s="293" t="s">
        <v>13217</v>
      </c>
      <c r="H1095" s="296" t="s">
        <v>15855</v>
      </c>
      <c r="I1095" s="297" t="s">
        <v>15510</v>
      </c>
      <c r="J1095" s="297" t="s">
        <v>12830</v>
      </c>
      <c r="K1095" s="298" t="s">
        <v>15855</v>
      </c>
      <c r="L1095" s="298" t="s">
        <v>15855</v>
      </c>
      <c r="M1095" s="298" t="s">
        <v>15855</v>
      </c>
      <c r="N1095" s="298" t="s">
        <v>15855</v>
      </c>
      <c r="O1095" s="298" t="s">
        <v>15858</v>
      </c>
      <c r="P1095" s="299" t="s">
        <v>15857</v>
      </c>
      <c r="Q1095" s="300" t="s">
        <v>15855</v>
      </c>
      <c r="R1095" s="182" t="str">
        <f ca="1">IF(ISERROR($V1095),"",OFFSET('Smelter Look-up'!$C$4,$V1095-4,0)&amp;"")</f>
        <v>PT Premium Tin Indonesia</v>
      </c>
      <c r="S1095" s="181" t="str">
        <f t="shared" ca="1" si="155"/>
        <v>ID</v>
      </c>
      <c r="T1095" s="181" t="str">
        <f ca="1">IF(B1095="","",IF(ISERROR(MATCH($J1095,SorP!$B$1:$B$6226,0)),"",INDIRECT("'SorP'!$A$"&amp;MATCH($S1095&amp;$J1095,SorP!C:C,0))))</f>
        <v>ID-BB</v>
      </c>
      <c r="U1095" s="201"/>
      <c r="V1095" s="226">
        <f>IF(C1095="",NA(),IF(OR(C1095="Smelter not listed",C1095="Smelter not yet identified"),MATCH($B1095&amp;$D1095,'Smelter Look-up'!$J:$J,0),MATCH($B1095&amp;$C1095,'Smelter Look-up'!$J:$J,0)))</f>
        <v>521</v>
      </c>
      <c r="X1095" s="227">
        <f t="shared" si="156"/>
        <v>0</v>
      </c>
      <c r="AB1095" s="228" t="str">
        <f t="shared" si="157"/>
        <v>TinPT Premium Tin Indonesia</v>
      </c>
    </row>
    <row r="1096" spans="1:28" s="227" customFormat="1" ht="54">
      <c r="A1096" s="301" t="s">
        <v>15080</v>
      </c>
      <c r="B1096" s="293" t="s">
        <v>1120</v>
      </c>
      <c r="C1096" s="294" t="s">
        <v>15079</v>
      </c>
      <c r="D1096" s="295" t="s">
        <v>15079</v>
      </c>
      <c r="E1096" s="293" t="s">
        <v>1095</v>
      </c>
      <c r="F1096" s="293" t="s">
        <v>15080</v>
      </c>
      <c r="G1096" s="293" t="s">
        <v>13217</v>
      </c>
      <c r="H1096" s="296" t="s">
        <v>15855</v>
      </c>
      <c r="I1096" s="297" t="s">
        <v>15109</v>
      </c>
      <c r="J1096" s="297" t="s">
        <v>12830</v>
      </c>
      <c r="K1096" s="298" t="s">
        <v>15855</v>
      </c>
      <c r="L1096" s="298" t="s">
        <v>15855</v>
      </c>
      <c r="M1096" s="298" t="s">
        <v>15855</v>
      </c>
      <c r="N1096" s="298" t="s">
        <v>15855</v>
      </c>
      <c r="O1096" s="298" t="s">
        <v>15855</v>
      </c>
      <c r="P1096" s="299" t="s">
        <v>15857</v>
      </c>
      <c r="Q1096" s="300" t="s">
        <v>15855</v>
      </c>
      <c r="R1096" s="182" t="str">
        <f ca="1">IF(ISERROR($V1096),"",OFFSET('Smelter Look-up'!$C$4,$V1096-4,0)&amp;"")</f>
        <v>PT Prima Timah Utama</v>
      </c>
      <c r="S1096" s="181" t="str">
        <f t="shared" ca="1" si="155"/>
        <v>ID</v>
      </c>
      <c r="T1096" s="181" t="str">
        <f ca="1">IF(B1096="","",IF(ISERROR(MATCH($J1096,SorP!$B$1:$B$6226,0)),"",INDIRECT("'SorP'!$A$"&amp;MATCH($S1096&amp;$J1096,SorP!C:C,0))))</f>
        <v>ID-BB</v>
      </c>
      <c r="U1096" s="201"/>
      <c r="V1096" s="226">
        <f>IF(C1096="",NA(),IF(OR(C1096="Smelter not listed",C1096="Smelter not yet identified"),MATCH($B1096&amp;$D1096,'Smelter Look-up'!$J:$J,0),MATCH($B1096&amp;$C1096,'Smelter Look-up'!$J:$J,0)))</f>
        <v>522</v>
      </c>
      <c r="X1096" s="227">
        <f t="shared" si="156"/>
        <v>0</v>
      </c>
      <c r="AB1096" s="228" t="str">
        <f t="shared" si="157"/>
        <v>TinPT Prima Timah Utama</v>
      </c>
    </row>
    <row r="1097" spans="1:28" s="227" customFormat="1" ht="54">
      <c r="A1097" s="301" t="s">
        <v>15080</v>
      </c>
      <c r="B1097" s="293" t="s">
        <v>1120</v>
      </c>
      <c r="C1097" s="294" t="s">
        <v>15079</v>
      </c>
      <c r="D1097" s="295" t="s">
        <v>15079</v>
      </c>
      <c r="E1097" s="293" t="s">
        <v>1095</v>
      </c>
      <c r="F1097" s="293" t="s">
        <v>15080</v>
      </c>
      <c r="G1097" s="293" t="s">
        <v>13217</v>
      </c>
      <c r="H1097" s="296" t="s">
        <v>15855</v>
      </c>
      <c r="I1097" s="297" t="s">
        <v>15109</v>
      </c>
      <c r="J1097" s="297" t="s">
        <v>12830</v>
      </c>
      <c r="K1097" s="298" t="s">
        <v>15855</v>
      </c>
      <c r="L1097" s="298" t="s">
        <v>15855</v>
      </c>
      <c r="M1097" s="298" t="s">
        <v>15855</v>
      </c>
      <c r="N1097" s="298" t="s">
        <v>15855</v>
      </c>
      <c r="O1097" s="298" t="s">
        <v>15855</v>
      </c>
      <c r="P1097" s="299" t="s">
        <v>15857</v>
      </c>
      <c r="Q1097" s="300" t="s">
        <v>16531</v>
      </c>
      <c r="R1097" s="182" t="str">
        <f ca="1">IF(ISERROR($V1097),"",OFFSET('Smelter Look-up'!$C$4,$V1097-4,0)&amp;"")</f>
        <v>PT Prima Timah Utama</v>
      </c>
      <c r="S1097" s="181" t="str">
        <f t="shared" ca="1" si="155"/>
        <v>ID</v>
      </c>
      <c r="T1097" s="181" t="str">
        <f ca="1">IF(B1097="","",IF(ISERROR(MATCH($J1097,SorP!$B$1:$B$6226,0)),"",INDIRECT("'SorP'!$A$"&amp;MATCH($S1097&amp;$J1097,SorP!C:C,0))))</f>
        <v>ID-BB</v>
      </c>
      <c r="U1097" s="201"/>
      <c r="V1097" s="226">
        <f>IF(C1097="",NA(),IF(OR(C1097="Smelter not listed",C1097="Smelter not yet identified"),MATCH($B1097&amp;$D1097,'Smelter Look-up'!$J:$J,0),MATCH($B1097&amp;$C1097,'Smelter Look-up'!$J:$J,0)))</f>
        <v>522</v>
      </c>
      <c r="X1097" s="227">
        <f t="shared" si="156"/>
        <v>0</v>
      </c>
      <c r="AB1097" s="228" t="str">
        <f t="shared" si="157"/>
        <v>TinPT Prima Timah Utama</v>
      </c>
    </row>
    <row r="1098" spans="1:28" s="227" customFormat="1" ht="54">
      <c r="A1098" s="301" t="s">
        <v>15080</v>
      </c>
      <c r="B1098" s="293" t="s">
        <v>1120</v>
      </c>
      <c r="C1098" s="294" t="s">
        <v>15079</v>
      </c>
      <c r="D1098" s="295" t="s">
        <v>15079</v>
      </c>
      <c r="E1098" s="293" t="s">
        <v>1095</v>
      </c>
      <c r="F1098" s="293" t="s">
        <v>15080</v>
      </c>
      <c r="G1098" s="293" t="s">
        <v>13217</v>
      </c>
      <c r="H1098" s="296" t="s">
        <v>15855</v>
      </c>
      <c r="I1098" s="297" t="s">
        <v>15109</v>
      </c>
      <c r="J1098" s="297" t="s">
        <v>12830</v>
      </c>
      <c r="K1098" s="298" t="s">
        <v>15855</v>
      </c>
      <c r="L1098" s="298" t="s">
        <v>15855</v>
      </c>
      <c r="M1098" s="298" t="s">
        <v>15855</v>
      </c>
      <c r="N1098" s="298" t="s">
        <v>15855</v>
      </c>
      <c r="O1098" s="298" t="s">
        <v>16731</v>
      </c>
      <c r="P1098" s="299" t="s">
        <v>15857</v>
      </c>
      <c r="Q1098" s="300" t="s">
        <v>15855</v>
      </c>
      <c r="R1098" s="182" t="str">
        <f ca="1">IF(ISERROR($V1098),"",OFFSET('Smelter Look-up'!$C$4,$V1098-4,0)&amp;"")</f>
        <v>PT Prima Timah Utama</v>
      </c>
      <c r="S1098" s="181" t="str">
        <f t="shared" ca="1" si="155"/>
        <v>ID</v>
      </c>
      <c r="T1098" s="181" t="str">
        <f ca="1">IF(B1098="","",IF(ISERROR(MATCH($J1098,SorP!$B$1:$B$6226,0)),"",INDIRECT("'SorP'!$A$"&amp;MATCH($S1098&amp;$J1098,SorP!C:C,0))))</f>
        <v>ID-BB</v>
      </c>
      <c r="U1098" s="201"/>
      <c r="V1098" s="226">
        <f>IF(C1098="",NA(),IF(OR(C1098="Smelter not listed",C1098="Smelter not yet identified"),MATCH($B1098&amp;$D1098,'Smelter Look-up'!$J:$J,0),MATCH($B1098&amp;$C1098,'Smelter Look-up'!$J:$J,0)))</f>
        <v>522</v>
      </c>
      <c r="X1098" s="227">
        <f t="shared" si="156"/>
        <v>0</v>
      </c>
      <c r="AB1098" s="228" t="str">
        <f t="shared" si="157"/>
        <v>TinPT Prima Timah Utama</v>
      </c>
    </row>
    <row r="1099" spans="1:28" s="227" customFormat="1" ht="54">
      <c r="A1099" s="301" t="s">
        <v>15080</v>
      </c>
      <c r="B1099" s="293" t="s">
        <v>1120</v>
      </c>
      <c r="C1099" s="294" t="s">
        <v>15079</v>
      </c>
      <c r="D1099" s="295" t="s">
        <v>15079</v>
      </c>
      <c r="E1099" s="293" t="s">
        <v>1095</v>
      </c>
      <c r="F1099" s="293" t="s">
        <v>15080</v>
      </c>
      <c r="G1099" s="293" t="s">
        <v>13217</v>
      </c>
      <c r="H1099" s="296" t="s">
        <v>15855</v>
      </c>
      <c r="I1099" s="297" t="s">
        <v>15109</v>
      </c>
      <c r="J1099" s="297" t="s">
        <v>12830</v>
      </c>
      <c r="K1099" s="298" t="s">
        <v>16786</v>
      </c>
      <c r="L1099" s="298" t="s">
        <v>16787</v>
      </c>
      <c r="M1099" s="298" t="s">
        <v>15892</v>
      </c>
      <c r="N1099" s="298" t="s">
        <v>15862</v>
      </c>
      <c r="O1099" s="298" t="s">
        <v>16729</v>
      </c>
      <c r="P1099" s="299" t="s">
        <v>15857</v>
      </c>
      <c r="Q1099" s="300" t="s">
        <v>15855</v>
      </c>
      <c r="R1099" s="182" t="str">
        <f ca="1">IF(ISERROR($V1099),"",OFFSET('Smelter Look-up'!$C$4,$V1099-4,0)&amp;"")</f>
        <v>PT Prima Timah Utama</v>
      </c>
      <c r="S1099" s="181" t="str">
        <f t="shared" ca="1" si="155"/>
        <v>ID</v>
      </c>
      <c r="T1099" s="181" t="str">
        <f ca="1">IF(B1099="","",IF(ISERROR(MATCH($J1099,SorP!$B$1:$B$6226,0)),"",INDIRECT("'SorP'!$A$"&amp;MATCH($S1099&amp;$J1099,SorP!C:C,0))))</f>
        <v>ID-BB</v>
      </c>
      <c r="U1099" s="201"/>
      <c r="V1099" s="226">
        <f>IF(C1099="",NA(),IF(OR(C1099="Smelter not listed",C1099="Smelter not yet identified"),MATCH($B1099&amp;$D1099,'Smelter Look-up'!$J:$J,0),MATCH($B1099&amp;$C1099,'Smelter Look-up'!$J:$J,0)))</f>
        <v>522</v>
      </c>
      <c r="X1099" s="227">
        <f t="shared" si="156"/>
        <v>0</v>
      </c>
      <c r="AB1099" s="228" t="str">
        <f t="shared" si="157"/>
        <v>TinPT Prima Timah Utama</v>
      </c>
    </row>
    <row r="1100" spans="1:28" s="227" customFormat="1" ht="54">
      <c r="A1100" s="301" t="s">
        <v>15080</v>
      </c>
      <c r="B1100" s="293" t="s">
        <v>1120</v>
      </c>
      <c r="C1100" s="294" t="s">
        <v>15079</v>
      </c>
      <c r="D1100" s="295" t="s">
        <v>15079</v>
      </c>
      <c r="E1100" s="293" t="s">
        <v>1095</v>
      </c>
      <c r="F1100" s="293" t="s">
        <v>15080</v>
      </c>
      <c r="G1100" s="293" t="s">
        <v>13217</v>
      </c>
      <c r="H1100" s="302" t="s">
        <v>15880</v>
      </c>
      <c r="I1100" s="297" t="s">
        <v>15109</v>
      </c>
      <c r="J1100" s="297" t="s">
        <v>12830</v>
      </c>
      <c r="K1100" s="298" t="s">
        <v>15855</v>
      </c>
      <c r="L1100" s="298" t="s">
        <v>15855</v>
      </c>
      <c r="M1100" s="298" t="s">
        <v>15855</v>
      </c>
      <c r="N1100" s="298" t="s">
        <v>15855</v>
      </c>
      <c r="O1100" s="298" t="s">
        <v>15855</v>
      </c>
      <c r="P1100" s="299" t="s">
        <v>15857</v>
      </c>
      <c r="Q1100" s="300" t="s">
        <v>15855</v>
      </c>
      <c r="R1100" s="182" t="str">
        <f ca="1">IF(ISERROR($V1100),"",OFFSET('Smelter Look-up'!$C$4,$V1100-4,0)&amp;"")</f>
        <v>PT Prima Timah Utama</v>
      </c>
      <c r="S1100" s="181" t="str">
        <f t="shared" ca="1" si="155"/>
        <v>ID</v>
      </c>
      <c r="T1100" s="181" t="str">
        <f ca="1">IF(B1100="","",IF(ISERROR(MATCH($J1100,SorP!$B$1:$B$6226,0)),"",INDIRECT("'SorP'!$A$"&amp;MATCH($S1100&amp;$J1100,SorP!C:C,0))))</f>
        <v>ID-BB</v>
      </c>
      <c r="U1100" s="201"/>
      <c r="V1100" s="226">
        <f>IF(C1100="",NA(),IF(OR(C1100="Smelter not listed",C1100="Smelter not yet identified"),MATCH($B1100&amp;$D1100,'Smelter Look-up'!$J:$J,0),MATCH($B1100&amp;$C1100,'Smelter Look-up'!$J:$J,0)))</f>
        <v>522</v>
      </c>
      <c r="X1100" s="227">
        <f t="shared" si="156"/>
        <v>0</v>
      </c>
      <c r="AB1100" s="228" t="str">
        <f t="shared" si="157"/>
        <v>TinPT Prima Timah Utama</v>
      </c>
    </row>
    <row r="1101" spans="1:28" s="227" customFormat="1" ht="54">
      <c r="A1101" s="301" t="s">
        <v>15080</v>
      </c>
      <c r="B1101" s="293" t="s">
        <v>1120</v>
      </c>
      <c r="C1101" s="294" t="s">
        <v>15079</v>
      </c>
      <c r="D1101" s="295" t="s">
        <v>15079</v>
      </c>
      <c r="E1101" s="293" t="s">
        <v>1095</v>
      </c>
      <c r="F1101" s="293" t="s">
        <v>15080</v>
      </c>
      <c r="G1101" s="293" t="s">
        <v>13217</v>
      </c>
      <c r="H1101" s="296" t="s">
        <v>16788</v>
      </c>
      <c r="I1101" s="297" t="s">
        <v>15109</v>
      </c>
      <c r="J1101" s="297" t="s">
        <v>12830</v>
      </c>
      <c r="K1101" s="298" t="s">
        <v>16789</v>
      </c>
      <c r="L1101" s="298" t="s">
        <v>16790</v>
      </c>
      <c r="M1101" s="298" t="s">
        <v>16673</v>
      </c>
      <c r="N1101" s="298" t="s">
        <v>15855</v>
      </c>
      <c r="O1101" s="298" t="s">
        <v>16735</v>
      </c>
      <c r="P1101" s="299" t="s">
        <v>15857</v>
      </c>
      <c r="Q1101" s="300" t="s">
        <v>16611</v>
      </c>
      <c r="R1101" s="182" t="str">
        <f ca="1">IF(ISERROR($V1101),"",OFFSET('Smelter Look-up'!$C$4,$V1101-4,0)&amp;"")</f>
        <v>PT Prima Timah Utama</v>
      </c>
      <c r="S1101" s="181" t="str">
        <f t="shared" ca="1" si="155"/>
        <v>ID</v>
      </c>
      <c r="T1101" s="181" t="str">
        <f ca="1">IF(B1101="","",IF(ISERROR(MATCH($J1101,SorP!$B$1:$B$6226,0)),"",INDIRECT("'SorP'!$A$"&amp;MATCH($S1101&amp;$J1101,SorP!C:C,0))))</f>
        <v>ID-BB</v>
      </c>
      <c r="U1101" s="201"/>
      <c r="V1101" s="226">
        <f>IF(C1101="",NA(),IF(OR(C1101="Smelter not listed",C1101="Smelter not yet identified"),MATCH($B1101&amp;$D1101,'Smelter Look-up'!$J:$J,0),MATCH($B1101&amp;$C1101,'Smelter Look-up'!$J:$J,0)))</f>
        <v>522</v>
      </c>
      <c r="X1101" s="227">
        <f t="shared" si="156"/>
        <v>0</v>
      </c>
      <c r="AB1101" s="228" t="str">
        <f t="shared" si="157"/>
        <v>TinPT Prima Timah Utama</v>
      </c>
    </row>
    <row r="1102" spans="1:28" s="227" customFormat="1" ht="67.5">
      <c r="A1102" s="301" t="s">
        <v>15455</v>
      </c>
      <c r="B1102" s="293" t="s">
        <v>1120</v>
      </c>
      <c r="C1102" s="294" t="s">
        <v>15454</v>
      </c>
      <c r="D1102" s="295" t="s">
        <v>15454</v>
      </c>
      <c r="E1102" s="293" t="s">
        <v>1095</v>
      </c>
      <c r="F1102" s="293" t="s">
        <v>15455</v>
      </c>
      <c r="G1102" s="293" t="s">
        <v>13217</v>
      </c>
      <c r="H1102" s="296" t="s">
        <v>15855</v>
      </c>
      <c r="I1102" s="297" t="s">
        <v>1753</v>
      </c>
      <c r="J1102" s="297" t="s">
        <v>12830</v>
      </c>
      <c r="K1102" s="298" t="s">
        <v>15855</v>
      </c>
      <c r="L1102" s="298" t="s">
        <v>15855</v>
      </c>
      <c r="M1102" s="298" t="s">
        <v>15855</v>
      </c>
      <c r="N1102" s="298" t="s">
        <v>15855</v>
      </c>
      <c r="O1102" s="298" t="s">
        <v>15855</v>
      </c>
      <c r="P1102" s="299" t="s">
        <v>15857</v>
      </c>
      <c r="Q1102" s="300" t="s">
        <v>15855</v>
      </c>
      <c r="R1102" s="182" t="str">
        <f ca="1">IF(ISERROR($V1102),"",OFFSET('Smelter Look-up'!$C$4,$V1102-4,0)&amp;"")</f>
        <v>PT Putera Sarana Shakti (PT PSS)</v>
      </c>
      <c r="S1102" s="181" t="str">
        <f t="shared" ca="1" si="155"/>
        <v>ID</v>
      </c>
      <c r="T1102" s="181" t="str">
        <f ca="1">IF(B1102="","",IF(ISERROR(MATCH($J1102,SorP!$B$1:$B$6226,0)),"",INDIRECT("'SorP'!$A$"&amp;MATCH($S1102&amp;$J1102,SorP!C:C,0))))</f>
        <v>ID-BB</v>
      </c>
      <c r="U1102" s="201"/>
      <c r="V1102" s="226">
        <f>IF(C1102="",NA(),IF(OR(C1102="Smelter not listed",C1102="Smelter not yet identified"),MATCH($B1102&amp;$D1102,'Smelter Look-up'!$J:$J,0),MATCH($B1102&amp;$C1102,'Smelter Look-up'!$J:$J,0)))</f>
        <v>523</v>
      </c>
      <c r="X1102" s="227">
        <f t="shared" si="156"/>
        <v>0</v>
      </c>
      <c r="AB1102" s="228" t="str">
        <f t="shared" si="157"/>
        <v>TinPT Putera Sarana Shakti (PT PSS)</v>
      </c>
    </row>
    <row r="1103" spans="1:28" s="227" customFormat="1" ht="67.5">
      <c r="A1103" s="301" t="s">
        <v>15455</v>
      </c>
      <c r="B1103" s="293" t="s">
        <v>1120</v>
      </c>
      <c r="C1103" s="294" t="s">
        <v>15454</v>
      </c>
      <c r="D1103" s="295" t="s">
        <v>15454</v>
      </c>
      <c r="E1103" s="293" t="s">
        <v>1095</v>
      </c>
      <c r="F1103" s="293" t="s">
        <v>15455</v>
      </c>
      <c r="G1103" s="293" t="s">
        <v>13217</v>
      </c>
      <c r="H1103" s="296" t="s">
        <v>15855</v>
      </c>
      <c r="I1103" s="297" t="s">
        <v>1753</v>
      </c>
      <c r="J1103" s="297" t="s">
        <v>12830</v>
      </c>
      <c r="K1103" s="298" t="s">
        <v>15855</v>
      </c>
      <c r="L1103" s="298" t="s">
        <v>15855</v>
      </c>
      <c r="M1103" s="298" t="s">
        <v>15855</v>
      </c>
      <c r="N1103" s="298" t="s">
        <v>15855</v>
      </c>
      <c r="O1103" s="298" t="s">
        <v>15858</v>
      </c>
      <c r="P1103" s="299" t="s">
        <v>15857</v>
      </c>
      <c r="Q1103" s="300" t="s">
        <v>15855</v>
      </c>
      <c r="R1103" s="182" t="str">
        <f ca="1">IF(ISERROR($V1103),"",OFFSET('Smelter Look-up'!$C$4,$V1103-4,0)&amp;"")</f>
        <v>PT Putera Sarana Shakti (PT PSS)</v>
      </c>
      <c r="S1103" s="181" t="str">
        <f t="shared" ca="1" si="155"/>
        <v>ID</v>
      </c>
      <c r="T1103" s="181" t="str">
        <f ca="1">IF(B1103="","",IF(ISERROR(MATCH($J1103,SorP!$B$1:$B$6226,0)),"",INDIRECT("'SorP'!$A$"&amp;MATCH($S1103&amp;$J1103,SorP!C:C,0))))</f>
        <v>ID-BB</v>
      </c>
      <c r="U1103" s="201"/>
      <c r="V1103" s="226">
        <f>IF(C1103="",NA(),IF(OR(C1103="Smelter not listed",C1103="Smelter not yet identified"),MATCH($B1103&amp;$D1103,'Smelter Look-up'!$J:$J,0),MATCH($B1103&amp;$C1103,'Smelter Look-up'!$J:$J,0)))</f>
        <v>523</v>
      </c>
      <c r="X1103" s="227">
        <f t="shared" si="156"/>
        <v>0</v>
      </c>
      <c r="AB1103" s="228" t="str">
        <f t="shared" si="157"/>
        <v>TinPT Putera Sarana Shakti (PT PSS)</v>
      </c>
    </row>
    <row r="1104" spans="1:28" s="227" customFormat="1" ht="54">
      <c r="A1104" s="301" t="s">
        <v>15082</v>
      </c>
      <c r="B1104" s="293" t="s">
        <v>1120</v>
      </c>
      <c r="C1104" s="294" t="s">
        <v>15081</v>
      </c>
      <c r="D1104" s="295" t="s">
        <v>15081</v>
      </c>
      <c r="E1104" s="293" t="s">
        <v>1095</v>
      </c>
      <c r="F1104" s="293" t="s">
        <v>15082</v>
      </c>
      <c r="G1104" s="293" t="s">
        <v>13217</v>
      </c>
      <c r="H1104" s="296" t="s">
        <v>15855</v>
      </c>
      <c r="I1104" s="297" t="s">
        <v>15115</v>
      </c>
      <c r="J1104" s="297" t="s">
        <v>12830</v>
      </c>
      <c r="K1104" s="298" t="s">
        <v>15855</v>
      </c>
      <c r="L1104" s="298" t="s">
        <v>15855</v>
      </c>
      <c r="M1104" s="298" t="s">
        <v>15855</v>
      </c>
      <c r="N1104" s="298" t="s">
        <v>15855</v>
      </c>
      <c r="O1104" s="298" t="s">
        <v>15855</v>
      </c>
      <c r="P1104" s="299" t="s">
        <v>15857</v>
      </c>
      <c r="Q1104" s="300" t="s">
        <v>15855</v>
      </c>
      <c r="R1104" s="182" t="str">
        <f ca="1">IF(ISERROR($V1104),"",OFFSET('Smelter Look-up'!$C$4,$V1104-4,0)&amp;"")</f>
        <v>PT Rajawali Rimba Perkasa</v>
      </c>
      <c r="S1104" s="181" t="str">
        <f t="shared" ca="1" si="155"/>
        <v>ID</v>
      </c>
      <c r="T1104" s="181" t="str">
        <f ca="1">IF(B1104="","",IF(ISERROR(MATCH($J1104,SorP!$B$1:$B$6226,0)),"",INDIRECT("'SorP'!$A$"&amp;MATCH($S1104&amp;$J1104,SorP!C:C,0))))</f>
        <v>ID-BB</v>
      </c>
      <c r="U1104" s="201"/>
      <c r="V1104" s="226">
        <f>IF(C1104="",NA(),IF(OR(C1104="Smelter not listed",C1104="Smelter not yet identified"),MATCH($B1104&amp;$D1104,'Smelter Look-up'!$J:$J,0),MATCH($B1104&amp;$C1104,'Smelter Look-up'!$J:$J,0)))</f>
        <v>524</v>
      </c>
      <c r="X1104" s="227">
        <f t="shared" si="156"/>
        <v>0</v>
      </c>
      <c r="AB1104" s="228" t="str">
        <f t="shared" si="157"/>
        <v>TinPT Rajawali Rimba Perkasa</v>
      </c>
    </row>
    <row r="1105" spans="1:28" s="227" customFormat="1" ht="54">
      <c r="A1105" s="301" t="s">
        <v>15082</v>
      </c>
      <c r="B1105" s="293" t="s">
        <v>1120</v>
      </c>
      <c r="C1105" s="294" t="s">
        <v>15081</v>
      </c>
      <c r="D1105" s="295" t="s">
        <v>15081</v>
      </c>
      <c r="E1105" s="293" t="s">
        <v>1095</v>
      </c>
      <c r="F1105" s="293" t="s">
        <v>15082</v>
      </c>
      <c r="G1105" s="293" t="s">
        <v>13217</v>
      </c>
      <c r="H1105" s="296" t="s">
        <v>15855</v>
      </c>
      <c r="I1105" s="297" t="s">
        <v>15115</v>
      </c>
      <c r="J1105" s="297" t="s">
        <v>12830</v>
      </c>
      <c r="K1105" s="298" t="s">
        <v>15855</v>
      </c>
      <c r="L1105" s="298" t="s">
        <v>15855</v>
      </c>
      <c r="M1105" s="298" t="s">
        <v>15855</v>
      </c>
      <c r="N1105" s="298" t="s">
        <v>15855</v>
      </c>
      <c r="O1105" s="298" t="s">
        <v>16731</v>
      </c>
      <c r="P1105" s="299" t="s">
        <v>15857</v>
      </c>
      <c r="Q1105" s="300" t="s">
        <v>15855</v>
      </c>
      <c r="R1105" s="182" t="str">
        <f ca="1">IF(ISERROR($V1105),"",OFFSET('Smelter Look-up'!$C$4,$V1105-4,0)&amp;"")</f>
        <v>PT Rajawali Rimba Perkasa</v>
      </c>
      <c r="S1105" s="181" t="str">
        <f t="shared" ca="1" si="155"/>
        <v>ID</v>
      </c>
      <c r="T1105" s="181" t="str">
        <f ca="1">IF(B1105="","",IF(ISERROR(MATCH($J1105,SorP!$B$1:$B$6226,0)),"",INDIRECT("'SorP'!$A$"&amp;MATCH($S1105&amp;$J1105,SorP!C:C,0))))</f>
        <v>ID-BB</v>
      </c>
      <c r="U1105" s="201"/>
      <c r="V1105" s="226">
        <f>IF(C1105="",NA(),IF(OR(C1105="Smelter not listed",C1105="Smelter not yet identified"),MATCH($B1105&amp;$D1105,'Smelter Look-up'!$J:$J,0),MATCH($B1105&amp;$C1105,'Smelter Look-up'!$J:$J,0)))</f>
        <v>524</v>
      </c>
      <c r="X1105" s="227">
        <f t="shared" si="156"/>
        <v>0</v>
      </c>
      <c r="AB1105" s="228" t="str">
        <f t="shared" si="157"/>
        <v>TinPT Rajawali Rimba Perkasa</v>
      </c>
    </row>
    <row r="1106" spans="1:28" s="227" customFormat="1" ht="54">
      <c r="A1106" s="301" t="s">
        <v>15082</v>
      </c>
      <c r="B1106" s="293" t="s">
        <v>1120</v>
      </c>
      <c r="C1106" s="294" t="s">
        <v>15081</v>
      </c>
      <c r="D1106" s="295" t="s">
        <v>15081</v>
      </c>
      <c r="E1106" s="293" t="s">
        <v>1095</v>
      </c>
      <c r="F1106" s="293" t="s">
        <v>15082</v>
      </c>
      <c r="G1106" s="293" t="s">
        <v>13217</v>
      </c>
      <c r="H1106" s="296" t="s">
        <v>15855</v>
      </c>
      <c r="I1106" s="297" t="s">
        <v>15115</v>
      </c>
      <c r="J1106" s="297" t="s">
        <v>12830</v>
      </c>
      <c r="K1106" s="298" t="s">
        <v>16791</v>
      </c>
      <c r="L1106" s="298" t="s">
        <v>16792</v>
      </c>
      <c r="M1106" s="298" t="s">
        <v>15869</v>
      </c>
      <c r="N1106" s="298" t="s">
        <v>15862</v>
      </c>
      <c r="O1106" s="298" t="s">
        <v>16729</v>
      </c>
      <c r="P1106" s="299" t="s">
        <v>15857</v>
      </c>
      <c r="Q1106" s="300" t="s">
        <v>15855</v>
      </c>
      <c r="R1106" s="182" t="str">
        <f ca="1">IF(ISERROR($V1106),"",OFFSET('Smelter Look-up'!$C$4,$V1106-4,0)&amp;"")</f>
        <v>PT Rajawali Rimba Perkasa</v>
      </c>
      <c r="S1106" s="181" t="str">
        <f t="shared" ca="1" si="155"/>
        <v>ID</v>
      </c>
      <c r="T1106" s="181" t="str">
        <f ca="1">IF(B1106="","",IF(ISERROR(MATCH($J1106,SorP!$B$1:$B$6226,0)),"",INDIRECT("'SorP'!$A$"&amp;MATCH($S1106&amp;$J1106,SorP!C:C,0))))</f>
        <v>ID-BB</v>
      </c>
      <c r="U1106" s="201"/>
      <c r="V1106" s="226">
        <f>IF(C1106="",NA(),IF(OR(C1106="Smelter not listed",C1106="Smelter not yet identified"),MATCH($B1106&amp;$D1106,'Smelter Look-up'!$J:$J,0),MATCH($B1106&amp;$C1106,'Smelter Look-up'!$J:$J,0)))</f>
        <v>524</v>
      </c>
      <c r="X1106" s="227">
        <f t="shared" si="156"/>
        <v>0</v>
      </c>
      <c r="AB1106" s="228" t="str">
        <f t="shared" si="157"/>
        <v>TinPT Rajawali Rimba Perkasa</v>
      </c>
    </row>
    <row r="1107" spans="1:28" s="227" customFormat="1" ht="54">
      <c r="A1107" s="301" t="s">
        <v>15082</v>
      </c>
      <c r="B1107" s="293" t="s">
        <v>1120</v>
      </c>
      <c r="C1107" s="294" t="s">
        <v>15081</v>
      </c>
      <c r="D1107" s="295" t="s">
        <v>15081</v>
      </c>
      <c r="E1107" s="293" t="s">
        <v>1095</v>
      </c>
      <c r="F1107" s="293" t="s">
        <v>15082</v>
      </c>
      <c r="G1107" s="293" t="s">
        <v>13217</v>
      </c>
      <c r="H1107" s="302" t="s">
        <v>15880</v>
      </c>
      <c r="I1107" s="297" t="s">
        <v>15115</v>
      </c>
      <c r="J1107" s="297" t="s">
        <v>12830</v>
      </c>
      <c r="K1107" s="298" t="s">
        <v>15855</v>
      </c>
      <c r="L1107" s="298" t="s">
        <v>15855</v>
      </c>
      <c r="M1107" s="298" t="s">
        <v>15855</v>
      </c>
      <c r="N1107" s="298" t="s">
        <v>15855</v>
      </c>
      <c r="O1107" s="298" t="s">
        <v>15855</v>
      </c>
      <c r="P1107" s="299" t="s">
        <v>15857</v>
      </c>
      <c r="Q1107" s="300" t="s">
        <v>15855</v>
      </c>
      <c r="R1107" s="182" t="str">
        <f ca="1">IF(ISERROR($V1107),"",OFFSET('Smelter Look-up'!$C$4,$V1107-4,0)&amp;"")</f>
        <v>PT Rajawali Rimba Perkasa</v>
      </c>
      <c r="S1107" s="181" t="str">
        <f t="shared" ca="1" si="155"/>
        <v>ID</v>
      </c>
      <c r="T1107" s="181" t="str">
        <f ca="1">IF(B1107="","",IF(ISERROR(MATCH($J1107,SorP!$B$1:$B$6226,0)),"",INDIRECT("'SorP'!$A$"&amp;MATCH($S1107&amp;$J1107,SorP!C:C,0))))</f>
        <v>ID-BB</v>
      </c>
      <c r="U1107" s="201"/>
      <c r="V1107" s="226">
        <f>IF(C1107="",NA(),IF(OR(C1107="Smelter not listed",C1107="Smelter not yet identified"),MATCH($B1107&amp;$D1107,'Smelter Look-up'!$J:$J,0),MATCH($B1107&amp;$C1107,'Smelter Look-up'!$J:$J,0)))</f>
        <v>524</v>
      </c>
      <c r="X1107" s="227">
        <f t="shared" si="156"/>
        <v>0</v>
      </c>
      <c r="AB1107" s="228" t="str">
        <f t="shared" si="157"/>
        <v>TinPT Rajawali Rimba Perkasa</v>
      </c>
    </row>
    <row r="1108" spans="1:28" s="227" customFormat="1" ht="40.5">
      <c r="A1108" s="301" t="s">
        <v>15807</v>
      </c>
      <c r="B1108" s="293" t="s">
        <v>1120</v>
      </c>
      <c r="C1108" s="294" t="s">
        <v>15806</v>
      </c>
      <c r="D1108" s="295" t="s">
        <v>15806</v>
      </c>
      <c r="E1108" s="293" t="s">
        <v>1095</v>
      </c>
      <c r="F1108" s="293" t="s">
        <v>15807</v>
      </c>
      <c r="G1108" s="293" t="s">
        <v>13217</v>
      </c>
      <c r="H1108" s="296" t="s">
        <v>15855</v>
      </c>
      <c r="I1108" s="297" t="s">
        <v>15109</v>
      </c>
      <c r="J1108" s="297" t="s">
        <v>12830</v>
      </c>
      <c r="K1108" s="298" t="s">
        <v>15855</v>
      </c>
      <c r="L1108" s="298" t="s">
        <v>15855</v>
      </c>
      <c r="M1108" s="298" t="s">
        <v>15855</v>
      </c>
      <c r="N1108" s="298" t="s">
        <v>15855</v>
      </c>
      <c r="O1108" s="298" t="s">
        <v>15855</v>
      </c>
      <c r="P1108" s="299" t="s">
        <v>15857</v>
      </c>
      <c r="Q1108" s="300" t="s">
        <v>16531</v>
      </c>
      <c r="R1108" s="182" t="str">
        <f ca="1">IF(ISERROR($V1108),"",OFFSET('Smelter Look-up'!$C$4,$V1108-4,0)&amp;"")</f>
        <v>PT Rajehan Ariq</v>
      </c>
      <c r="S1108" s="181" t="str">
        <f t="shared" ca="1" si="155"/>
        <v>ID</v>
      </c>
      <c r="T1108" s="181" t="str">
        <f ca="1">IF(B1108="","",IF(ISERROR(MATCH($J1108,SorP!$B$1:$B$6226,0)),"",INDIRECT("'SorP'!$A$"&amp;MATCH($S1108&amp;$J1108,SorP!C:C,0))))</f>
        <v>ID-BB</v>
      </c>
      <c r="U1108" s="201"/>
      <c r="V1108" s="226">
        <f>IF(C1108="",NA(),IF(OR(C1108="Smelter not listed",C1108="Smelter not yet identified"),MATCH($B1108&amp;$D1108,'Smelter Look-up'!$J:$J,0),MATCH($B1108&amp;$C1108,'Smelter Look-up'!$J:$J,0)))</f>
        <v>525</v>
      </c>
      <c r="X1108" s="227">
        <f t="shared" si="156"/>
        <v>0</v>
      </c>
      <c r="AB1108" s="228" t="str">
        <f t="shared" si="157"/>
        <v>TinPT Rajehan Ariq</v>
      </c>
    </row>
    <row r="1109" spans="1:28" s="227" customFormat="1" ht="40.5">
      <c r="A1109" s="301" t="s">
        <v>15807</v>
      </c>
      <c r="B1109" s="293" t="s">
        <v>1120</v>
      </c>
      <c r="C1109" s="294" t="s">
        <v>15806</v>
      </c>
      <c r="D1109" s="295" t="s">
        <v>15806</v>
      </c>
      <c r="E1109" s="293" t="s">
        <v>1095</v>
      </c>
      <c r="F1109" s="293" t="s">
        <v>15807</v>
      </c>
      <c r="G1109" s="293" t="s">
        <v>13217</v>
      </c>
      <c r="H1109" s="296" t="s">
        <v>15855</v>
      </c>
      <c r="I1109" s="297" t="s">
        <v>15109</v>
      </c>
      <c r="J1109" s="297" t="s">
        <v>12830</v>
      </c>
      <c r="K1109" s="298" t="s">
        <v>15855</v>
      </c>
      <c r="L1109" s="298" t="s">
        <v>15855</v>
      </c>
      <c r="M1109" s="298" t="s">
        <v>15855</v>
      </c>
      <c r="N1109" s="298" t="s">
        <v>15855</v>
      </c>
      <c r="O1109" s="298" t="s">
        <v>15858</v>
      </c>
      <c r="P1109" s="299" t="s">
        <v>15857</v>
      </c>
      <c r="Q1109" s="300" t="s">
        <v>15855</v>
      </c>
      <c r="R1109" s="182" t="str">
        <f ca="1">IF(ISERROR($V1109),"",OFFSET('Smelter Look-up'!$C$4,$V1109-4,0)&amp;"")</f>
        <v>PT Rajehan Ariq</v>
      </c>
      <c r="S1109" s="181" t="str">
        <f t="shared" ca="1" si="155"/>
        <v>ID</v>
      </c>
      <c r="T1109" s="181" t="str">
        <f ca="1">IF(B1109="","",IF(ISERROR(MATCH($J1109,SorP!$B$1:$B$6226,0)),"",INDIRECT("'SorP'!$A$"&amp;MATCH($S1109&amp;$J1109,SorP!C:C,0))))</f>
        <v>ID-BB</v>
      </c>
      <c r="U1109" s="201"/>
      <c r="V1109" s="226">
        <f>IF(C1109="",NA(),IF(OR(C1109="Smelter not listed",C1109="Smelter not yet identified"),MATCH($B1109&amp;$D1109,'Smelter Look-up'!$J:$J,0),MATCH($B1109&amp;$C1109,'Smelter Look-up'!$J:$J,0)))</f>
        <v>525</v>
      </c>
      <c r="X1109" s="227">
        <f t="shared" si="156"/>
        <v>0</v>
      </c>
      <c r="AB1109" s="228" t="str">
        <f t="shared" si="157"/>
        <v>TinPT Rajehan Ariq</v>
      </c>
    </row>
    <row r="1110" spans="1:28" s="227" customFormat="1" ht="40.5">
      <c r="A1110" s="301" t="s">
        <v>15807</v>
      </c>
      <c r="B1110" s="293" t="s">
        <v>1120</v>
      </c>
      <c r="C1110" s="294" t="s">
        <v>15806</v>
      </c>
      <c r="D1110" s="295" t="s">
        <v>15806</v>
      </c>
      <c r="E1110" s="293" t="s">
        <v>1095</v>
      </c>
      <c r="F1110" s="293" t="s">
        <v>15807</v>
      </c>
      <c r="G1110" s="293" t="s">
        <v>13217</v>
      </c>
      <c r="H1110" s="302" t="s">
        <v>15880</v>
      </c>
      <c r="I1110" s="297" t="s">
        <v>15109</v>
      </c>
      <c r="J1110" s="297" t="s">
        <v>12830</v>
      </c>
      <c r="K1110" s="298" t="s">
        <v>15855</v>
      </c>
      <c r="L1110" s="298" t="s">
        <v>15855</v>
      </c>
      <c r="M1110" s="298" t="s">
        <v>15855</v>
      </c>
      <c r="N1110" s="298" t="s">
        <v>15855</v>
      </c>
      <c r="O1110" s="298" t="s">
        <v>15855</v>
      </c>
      <c r="P1110" s="299" t="s">
        <v>15857</v>
      </c>
      <c r="Q1110" s="300" t="s">
        <v>15855</v>
      </c>
      <c r="R1110" s="182" t="str">
        <f ca="1">IF(ISERROR($V1110),"",OFFSET('Smelter Look-up'!$C$4,$V1110-4,0)&amp;"")</f>
        <v>PT Rajehan Ariq</v>
      </c>
      <c r="S1110" s="181" t="str">
        <f t="shared" ca="1" si="155"/>
        <v>ID</v>
      </c>
      <c r="T1110" s="181" t="str">
        <f ca="1">IF(B1110="","",IF(ISERROR(MATCH($J1110,SorP!$B$1:$B$6226,0)),"",INDIRECT("'SorP'!$A$"&amp;MATCH($S1110&amp;$J1110,SorP!C:C,0))))</f>
        <v>ID-BB</v>
      </c>
      <c r="U1110" s="201"/>
      <c r="V1110" s="226">
        <f>IF(C1110="",NA(),IF(OR(C1110="Smelter not listed",C1110="Smelter not yet identified"),MATCH($B1110&amp;$D1110,'Smelter Look-up'!$J:$J,0),MATCH($B1110&amp;$C1110,'Smelter Look-up'!$J:$J,0)))</f>
        <v>525</v>
      </c>
      <c r="X1110" s="227">
        <f t="shared" si="156"/>
        <v>0</v>
      </c>
      <c r="AB1110" s="228" t="str">
        <f t="shared" si="157"/>
        <v>TinPT Rajehan Ariq</v>
      </c>
    </row>
    <row r="1111" spans="1:28" s="227" customFormat="1" ht="27">
      <c r="A1111" s="301" t="s">
        <v>775</v>
      </c>
      <c r="B1111" s="293" t="s">
        <v>1120</v>
      </c>
      <c r="C1111" s="294" t="s">
        <v>1777</v>
      </c>
      <c r="D1111" s="295" t="s">
        <v>2141</v>
      </c>
      <c r="E1111" s="293" t="s">
        <v>1095</v>
      </c>
      <c r="F1111" s="293" t="s">
        <v>775</v>
      </c>
      <c r="G1111" s="293" t="s">
        <v>15865</v>
      </c>
      <c r="H1111" s="296" t="s">
        <v>15855</v>
      </c>
      <c r="I1111" s="297" t="s">
        <v>1753</v>
      </c>
      <c r="J1111" s="297" t="s">
        <v>16738</v>
      </c>
      <c r="K1111" s="298" t="s">
        <v>15855</v>
      </c>
      <c r="L1111" s="298" t="s">
        <v>15855</v>
      </c>
      <c r="M1111" s="298" t="s">
        <v>15855</v>
      </c>
      <c r="N1111" s="298" t="s">
        <v>15855</v>
      </c>
      <c r="O1111" s="298" t="s">
        <v>15855</v>
      </c>
      <c r="P1111" s="299" t="s">
        <v>15857</v>
      </c>
      <c r="Q1111" s="300" t="s">
        <v>15855</v>
      </c>
      <c r="R1111" s="182" t="str">
        <f ca="1">IF(ISERROR($V1111),"",OFFSET('Smelter Look-up'!$C$4,$V1111-4,0)&amp;"")</f>
        <v>PT Refined Bangka Tin</v>
      </c>
      <c r="S1111" s="181" t="str">
        <f t="shared" ca="1" si="155"/>
        <v>ID</v>
      </c>
      <c r="T1111" s="181" t="str">
        <f ca="1">IF(B1111="","",IF(ISERROR(MATCH($J1111,SorP!$B$1:$B$6226,0)),"",INDIRECT("'SorP'!$A$"&amp;MATCH($S1111&amp;$J1111,SorP!C:C,0))))</f>
        <v/>
      </c>
      <c r="U1111" s="201"/>
      <c r="V1111" s="226">
        <f>IF(C1111="",NA(),IF(OR(C1111="Smelter not listed",C1111="Smelter not yet identified"),MATCH($B1111&amp;$D1111,'Smelter Look-up'!$J:$J,0),MATCH($B1111&amp;$C1111,'Smelter Look-up'!$J:$J,0)))</f>
        <v>408</v>
      </c>
      <c r="X1111" s="227">
        <f t="shared" si="156"/>
        <v>0</v>
      </c>
      <c r="AB1111" s="228" t="str">
        <f t="shared" si="157"/>
        <v>TinBrand RBT</v>
      </c>
    </row>
    <row r="1112" spans="1:28" s="227" customFormat="1" ht="54">
      <c r="A1112" s="301" t="s">
        <v>775</v>
      </c>
      <c r="B1112" s="293" t="s">
        <v>1120</v>
      </c>
      <c r="C1112" s="294" t="s">
        <v>2141</v>
      </c>
      <c r="D1112" s="295" t="s">
        <v>2141</v>
      </c>
      <c r="E1112" s="293" t="s">
        <v>1095</v>
      </c>
      <c r="F1112" s="293" t="s">
        <v>775</v>
      </c>
      <c r="G1112" s="293" t="s">
        <v>15865</v>
      </c>
      <c r="H1112" s="296" t="s">
        <v>15855</v>
      </c>
      <c r="I1112" s="297" t="s">
        <v>1753</v>
      </c>
      <c r="J1112" s="297" t="s">
        <v>16738</v>
      </c>
      <c r="K1112" s="298" t="s">
        <v>16793</v>
      </c>
      <c r="L1112" s="298" t="s">
        <v>16794</v>
      </c>
      <c r="M1112" s="298" t="s">
        <v>15855</v>
      </c>
      <c r="N1112" s="298" t="s">
        <v>16756</v>
      </c>
      <c r="O1112" s="298" t="s">
        <v>1095</v>
      </c>
      <c r="P1112" s="299" t="s">
        <v>15857</v>
      </c>
      <c r="Q1112" s="300" t="s">
        <v>15855</v>
      </c>
      <c r="R1112" s="182" t="str">
        <f ca="1">IF(ISERROR($V1112),"",OFFSET('Smelter Look-up'!$C$4,$V1112-4,0)&amp;"")</f>
        <v>PT Refined Bangka Tin</v>
      </c>
      <c r="S1112" s="181" t="str">
        <f t="shared" ca="1" si="155"/>
        <v>ID</v>
      </c>
      <c r="T1112" s="181" t="str">
        <f ca="1">IF(B1112="","",IF(ISERROR(MATCH($J1112,SorP!$B$1:$B$6226,0)),"",INDIRECT("'SorP'!$A$"&amp;MATCH($S1112&amp;$J1112,SorP!C:C,0))))</f>
        <v/>
      </c>
      <c r="U1112" s="201"/>
      <c r="V1112" s="226">
        <f>IF(C1112="",NA(),IF(OR(C1112="Smelter not listed",C1112="Smelter not yet identified"),MATCH($B1112&amp;$D1112,'Smelter Look-up'!$J:$J,0),MATCH($B1112&amp;$C1112,'Smelter Look-up'!$J:$J,0)))</f>
        <v>526</v>
      </c>
      <c r="X1112" s="227">
        <f t="shared" si="156"/>
        <v>0</v>
      </c>
      <c r="AB1112" s="228" t="str">
        <f t="shared" si="157"/>
        <v>TinPT Refined Bangka Tin</v>
      </c>
    </row>
    <row r="1113" spans="1:28" s="227" customFormat="1" ht="54">
      <c r="A1113" s="301" t="s">
        <v>775</v>
      </c>
      <c r="B1113" s="293" t="s">
        <v>1120</v>
      </c>
      <c r="C1113" s="294" t="s">
        <v>2141</v>
      </c>
      <c r="D1113" s="295" t="s">
        <v>2141</v>
      </c>
      <c r="E1113" s="293" t="s">
        <v>1095</v>
      </c>
      <c r="F1113" s="293" t="s">
        <v>775</v>
      </c>
      <c r="G1113" s="293" t="s">
        <v>13217</v>
      </c>
      <c r="H1113" s="296" t="s">
        <v>15855</v>
      </c>
      <c r="I1113" s="297" t="s">
        <v>1753</v>
      </c>
      <c r="J1113" s="297" t="s">
        <v>12830</v>
      </c>
      <c r="K1113" s="298" t="s">
        <v>15855</v>
      </c>
      <c r="L1113" s="298" t="s">
        <v>15855</v>
      </c>
      <c r="M1113" s="298" t="s">
        <v>15855</v>
      </c>
      <c r="N1113" s="298" t="s">
        <v>15855</v>
      </c>
      <c r="O1113" s="298" t="s">
        <v>15855</v>
      </c>
      <c r="P1113" s="299" t="s">
        <v>15857</v>
      </c>
      <c r="Q1113" s="300" t="s">
        <v>15855</v>
      </c>
      <c r="R1113" s="182" t="str">
        <f ca="1">IF(ISERROR($V1113),"",OFFSET('Smelter Look-up'!$C$4,$V1113-4,0)&amp;"")</f>
        <v>PT Refined Bangka Tin</v>
      </c>
      <c r="S1113" s="181" t="str">
        <f t="shared" ca="1" si="155"/>
        <v>ID</v>
      </c>
      <c r="T1113" s="181" t="str">
        <f ca="1">IF(B1113="","",IF(ISERROR(MATCH($J1113,SorP!$B$1:$B$6226,0)),"",INDIRECT("'SorP'!$A$"&amp;MATCH($S1113&amp;$J1113,SorP!C:C,0))))</f>
        <v>ID-BB</v>
      </c>
      <c r="U1113" s="201"/>
      <c r="V1113" s="226">
        <f>IF(C1113="",NA(),IF(OR(C1113="Smelter not listed",C1113="Smelter not yet identified"),MATCH($B1113&amp;$D1113,'Smelter Look-up'!$J:$J,0),MATCH($B1113&amp;$C1113,'Smelter Look-up'!$J:$J,0)))</f>
        <v>526</v>
      </c>
      <c r="X1113" s="227">
        <f t="shared" si="156"/>
        <v>0</v>
      </c>
      <c r="AB1113" s="228" t="str">
        <f t="shared" si="157"/>
        <v>TinPT Refined Bangka Tin</v>
      </c>
    </row>
    <row r="1114" spans="1:28" s="227" customFormat="1" ht="54">
      <c r="A1114" s="301" t="s">
        <v>775</v>
      </c>
      <c r="B1114" s="293" t="s">
        <v>1120</v>
      </c>
      <c r="C1114" s="294" t="s">
        <v>2141</v>
      </c>
      <c r="D1114" s="295" t="s">
        <v>2141</v>
      </c>
      <c r="E1114" s="293" t="s">
        <v>1095</v>
      </c>
      <c r="F1114" s="293" t="s">
        <v>775</v>
      </c>
      <c r="G1114" s="293" t="s">
        <v>13217</v>
      </c>
      <c r="H1114" s="296" t="s">
        <v>15855</v>
      </c>
      <c r="I1114" s="297" t="s">
        <v>1753</v>
      </c>
      <c r="J1114" s="297" t="s">
        <v>12830</v>
      </c>
      <c r="K1114" s="298" t="s">
        <v>15855</v>
      </c>
      <c r="L1114" s="298" t="s">
        <v>15855</v>
      </c>
      <c r="M1114" s="298" t="s">
        <v>15855</v>
      </c>
      <c r="N1114" s="298" t="s">
        <v>15855</v>
      </c>
      <c r="O1114" s="298" t="s">
        <v>15855</v>
      </c>
      <c r="P1114" s="299" t="s">
        <v>15857</v>
      </c>
      <c r="Q1114" s="300" t="s">
        <v>16531</v>
      </c>
      <c r="R1114" s="182" t="str">
        <f ca="1">IF(ISERROR($V1114),"",OFFSET('Smelter Look-up'!$C$4,$V1114-4,0)&amp;"")</f>
        <v>PT Refined Bangka Tin</v>
      </c>
      <c r="S1114" s="181" t="str">
        <f t="shared" ca="1" si="155"/>
        <v>ID</v>
      </c>
      <c r="T1114" s="181" t="str">
        <f ca="1">IF(B1114="","",IF(ISERROR(MATCH($J1114,SorP!$B$1:$B$6226,0)),"",INDIRECT("'SorP'!$A$"&amp;MATCH($S1114&amp;$J1114,SorP!C:C,0))))</f>
        <v>ID-BB</v>
      </c>
      <c r="U1114" s="201"/>
      <c r="V1114" s="226">
        <f>IF(C1114="",NA(),IF(OR(C1114="Smelter not listed",C1114="Smelter not yet identified"),MATCH($B1114&amp;$D1114,'Smelter Look-up'!$J:$J,0),MATCH($B1114&amp;$C1114,'Smelter Look-up'!$J:$J,0)))</f>
        <v>526</v>
      </c>
      <c r="X1114" s="227">
        <f t="shared" si="156"/>
        <v>0</v>
      </c>
      <c r="AB1114" s="228" t="str">
        <f t="shared" si="157"/>
        <v>TinPT Refined Bangka Tin</v>
      </c>
    </row>
    <row r="1115" spans="1:28" s="227" customFormat="1" ht="54">
      <c r="A1115" s="301" t="s">
        <v>775</v>
      </c>
      <c r="B1115" s="293" t="s">
        <v>1120</v>
      </c>
      <c r="C1115" s="294" t="s">
        <v>2141</v>
      </c>
      <c r="D1115" s="295" t="s">
        <v>2141</v>
      </c>
      <c r="E1115" s="293" t="s">
        <v>1095</v>
      </c>
      <c r="F1115" s="293" t="s">
        <v>775</v>
      </c>
      <c r="G1115" s="293" t="s">
        <v>13217</v>
      </c>
      <c r="H1115" s="296" t="s">
        <v>15855</v>
      </c>
      <c r="I1115" s="297" t="s">
        <v>1753</v>
      </c>
      <c r="J1115" s="297" t="s">
        <v>12830</v>
      </c>
      <c r="K1115" s="298" t="s">
        <v>15855</v>
      </c>
      <c r="L1115" s="298" t="s">
        <v>15855</v>
      </c>
      <c r="M1115" s="298" t="s">
        <v>15855</v>
      </c>
      <c r="N1115" s="298" t="s">
        <v>15855</v>
      </c>
      <c r="O1115" s="298" t="s">
        <v>15855</v>
      </c>
      <c r="P1115" s="299" t="s">
        <v>15875</v>
      </c>
      <c r="Q1115" s="300" t="s">
        <v>15855</v>
      </c>
      <c r="R1115" s="182" t="str">
        <f ca="1">IF(ISERROR($V1115),"",OFFSET('Smelter Look-up'!$C$4,$V1115-4,0)&amp;"")</f>
        <v>PT Refined Bangka Tin</v>
      </c>
      <c r="S1115" s="181" t="str">
        <f t="shared" ca="1" si="155"/>
        <v>ID</v>
      </c>
      <c r="T1115" s="181" t="str">
        <f ca="1">IF(B1115="","",IF(ISERROR(MATCH($J1115,SorP!$B$1:$B$6226,0)),"",INDIRECT("'SorP'!$A$"&amp;MATCH($S1115&amp;$J1115,SorP!C:C,0))))</f>
        <v>ID-BB</v>
      </c>
      <c r="U1115" s="201"/>
      <c r="V1115" s="226">
        <f>IF(C1115="",NA(),IF(OR(C1115="Smelter not listed",C1115="Smelter not yet identified"),MATCH($B1115&amp;$D1115,'Smelter Look-up'!$J:$J,0),MATCH($B1115&amp;$C1115,'Smelter Look-up'!$J:$J,0)))</f>
        <v>526</v>
      </c>
      <c r="X1115" s="227">
        <f t="shared" si="156"/>
        <v>0</v>
      </c>
      <c r="AB1115" s="228" t="str">
        <f t="shared" si="157"/>
        <v>TinPT Refined Bangka Tin</v>
      </c>
    </row>
    <row r="1116" spans="1:28" s="227" customFormat="1" ht="54">
      <c r="A1116" s="301" t="s">
        <v>775</v>
      </c>
      <c r="B1116" s="293" t="s">
        <v>1120</v>
      </c>
      <c r="C1116" s="294" t="s">
        <v>2141</v>
      </c>
      <c r="D1116" s="295" t="s">
        <v>2141</v>
      </c>
      <c r="E1116" s="293" t="s">
        <v>1095</v>
      </c>
      <c r="F1116" s="293" t="s">
        <v>775</v>
      </c>
      <c r="G1116" s="293" t="s">
        <v>13217</v>
      </c>
      <c r="H1116" s="296" t="s">
        <v>15855</v>
      </c>
      <c r="I1116" s="297" t="s">
        <v>1753</v>
      </c>
      <c r="J1116" s="297" t="s">
        <v>12830</v>
      </c>
      <c r="K1116" s="298" t="s">
        <v>15855</v>
      </c>
      <c r="L1116" s="298" t="s">
        <v>15855</v>
      </c>
      <c r="M1116" s="298" t="s">
        <v>15855</v>
      </c>
      <c r="N1116" s="298" t="s">
        <v>15855</v>
      </c>
      <c r="O1116" s="298" t="s">
        <v>16731</v>
      </c>
      <c r="P1116" s="299" t="s">
        <v>15857</v>
      </c>
      <c r="Q1116" s="300" t="s">
        <v>15855</v>
      </c>
      <c r="R1116" s="182" t="str">
        <f ca="1">IF(ISERROR($V1116),"",OFFSET('Smelter Look-up'!$C$4,$V1116-4,0)&amp;"")</f>
        <v>PT Refined Bangka Tin</v>
      </c>
      <c r="S1116" s="181" t="str">
        <f t="shared" ref="S1116:S1146" ca="1" si="158">IF(B1116="","",IF(ISERROR(MATCH($E1116,CL,0)),"Unknown",INDIRECT("'C'!$A$"&amp;MATCH($E1116,CL,0)+1)))</f>
        <v>ID</v>
      </c>
      <c r="T1116" s="181" t="str">
        <f ca="1">IF(B1116="","",IF(ISERROR(MATCH($J1116,SorP!$B$1:$B$6226,0)),"",INDIRECT("'SorP'!$A$"&amp;MATCH($S1116&amp;$J1116,SorP!C:C,0))))</f>
        <v>ID-BB</v>
      </c>
      <c r="U1116" s="201"/>
      <c r="V1116" s="226">
        <f>IF(C1116="",NA(),IF(OR(C1116="Smelter not listed",C1116="Smelter not yet identified"),MATCH($B1116&amp;$D1116,'Smelter Look-up'!$J:$J,0),MATCH($B1116&amp;$C1116,'Smelter Look-up'!$J:$J,0)))</f>
        <v>526</v>
      </c>
      <c r="X1116" s="227">
        <f t="shared" ref="X1116:X1146" si="159">IF(AND(C1116="Smelter not listed",OR(LEN(D1116)=0,LEN(E1116)=0)),1,0)</f>
        <v>0</v>
      </c>
      <c r="AB1116" s="228" t="str">
        <f t="shared" ref="AB1116:AB1146" si="160">B1116&amp;C1116</f>
        <v>TinPT Refined Bangka Tin</v>
      </c>
    </row>
    <row r="1117" spans="1:28" s="227" customFormat="1" ht="54">
      <c r="A1117" s="301" t="s">
        <v>775</v>
      </c>
      <c r="B1117" s="293" t="s">
        <v>1120</v>
      </c>
      <c r="C1117" s="294" t="s">
        <v>2141</v>
      </c>
      <c r="D1117" s="295" t="s">
        <v>2141</v>
      </c>
      <c r="E1117" s="293" t="s">
        <v>1095</v>
      </c>
      <c r="F1117" s="293" t="s">
        <v>775</v>
      </c>
      <c r="G1117" s="293" t="s">
        <v>13217</v>
      </c>
      <c r="H1117" s="296" t="s">
        <v>15855</v>
      </c>
      <c r="I1117" s="297" t="s">
        <v>1753</v>
      </c>
      <c r="J1117" s="297" t="s">
        <v>12830</v>
      </c>
      <c r="K1117" s="298" t="s">
        <v>15855</v>
      </c>
      <c r="L1117" s="298" t="s">
        <v>16795</v>
      </c>
      <c r="M1117" s="298" t="s">
        <v>15855</v>
      </c>
      <c r="N1117" s="298" t="s">
        <v>16796</v>
      </c>
      <c r="O1117" s="298" t="s">
        <v>16735</v>
      </c>
      <c r="P1117" s="299" t="s">
        <v>15857</v>
      </c>
      <c r="Q1117" s="300" t="s">
        <v>15855</v>
      </c>
      <c r="R1117" s="182" t="str">
        <f ca="1">IF(ISERROR($V1117),"",OFFSET('Smelter Look-up'!$C$4,$V1117-4,0)&amp;"")</f>
        <v>PT Refined Bangka Tin</v>
      </c>
      <c r="S1117" s="181" t="str">
        <f t="shared" ca="1" si="158"/>
        <v>ID</v>
      </c>
      <c r="T1117" s="181" t="str">
        <f ca="1">IF(B1117="","",IF(ISERROR(MATCH($J1117,SorP!$B$1:$B$6226,0)),"",INDIRECT("'SorP'!$A$"&amp;MATCH($S1117&amp;$J1117,SorP!C:C,0))))</f>
        <v>ID-BB</v>
      </c>
      <c r="U1117" s="201"/>
      <c r="V1117" s="226">
        <f>IF(C1117="",NA(),IF(OR(C1117="Smelter not listed",C1117="Smelter not yet identified"),MATCH($B1117&amp;$D1117,'Smelter Look-up'!$J:$J,0),MATCH($B1117&amp;$C1117,'Smelter Look-up'!$J:$J,0)))</f>
        <v>526</v>
      </c>
      <c r="X1117" s="227">
        <f t="shared" si="159"/>
        <v>0</v>
      </c>
      <c r="AB1117" s="228" t="str">
        <f t="shared" si="160"/>
        <v>TinPT Refined Bangka Tin</v>
      </c>
    </row>
    <row r="1118" spans="1:28" s="227" customFormat="1" ht="54">
      <c r="A1118" s="301" t="s">
        <v>775</v>
      </c>
      <c r="B1118" s="293" t="s">
        <v>1120</v>
      </c>
      <c r="C1118" s="294" t="s">
        <v>2141</v>
      </c>
      <c r="D1118" s="295" t="s">
        <v>2141</v>
      </c>
      <c r="E1118" s="293" t="s">
        <v>1095</v>
      </c>
      <c r="F1118" s="293" t="s">
        <v>775</v>
      </c>
      <c r="G1118" s="293" t="s">
        <v>13217</v>
      </c>
      <c r="H1118" s="296" t="s">
        <v>15855</v>
      </c>
      <c r="I1118" s="297" t="s">
        <v>1753</v>
      </c>
      <c r="J1118" s="297" t="s">
        <v>12830</v>
      </c>
      <c r="K1118" s="298" t="s">
        <v>16797</v>
      </c>
      <c r="L1118" s="298" t="s">
        <v>16798</v>
      </c>
      <c r="M1118" s="298" t="s">
        <v>15869</v>
      </c>
      <c r="N1118" s="298" t="s">
        <v>16796</v>
      </c>
      <c r="O1118" s="298" t="s">
        <v>16799</v>
      </c>
      <c r="P1118" s="299" t="s">
        <v>15857</v>
      </c>
      <c r="Q1118" s="300" t="s">
        <v>15855</v>
      </c>
      <c r="R1118" s="182" t="str">
        <f ca="1">IF(ISERROR($V1118),"",OFFSET('Smelter Look-up'!$C$4,$V1118-4,0)&amp;"")</f>
        <v>PT Refined Bangka Tin</v>
      </c>
      <c r="S1118" s="181" t="str">
        <f t="shared" ca="1" si="158"/>
        <v>ID</v>
      </c>
      <c r="T1118" s="181" t="str">
        <f ca="1">IF(B1118="","",IF(ISERROR(MATCH($J1118,SorP!$B$1:$B$6226,0)),"",INDIRECT("'SorP'!$A$"&amp;MATCH($S1118&amp;$J1118,SorP!C:C,0))))</f>
        <v>ID-BB</v>
      </c>
      <c r="U1118" s="201"/>
      <c r="V1118" s="226">
        <f>IF(C1118="",NA(),IF(OR(C1118="Smelter not listed",C1118="Smelter not yet identified"),MATCH($B1118&amp;$D1118,'Smelter Look-up'!$J:$J,0),MATCH($B1118&amp;$C1118,'Smelter Look-up'!$J:$J,0)))</f>
        <v>526</v>
      </c>
      <c r="X1118" s="227">
        <f t="shared" si="159"/>
        <v>0</v>
      </c>
      <c r="AB1118" s="228" t="str">
        <f t="shared" si="160"/>
        <v>TinPT Refined Bangka Tin</v>
      </c>
    </row>
    <row r="1119" spans="1:28" s="227" customFormat="1" ht="54">
      <c r="A1119" s="301" t="s">
        <v>775</v>
      </c>
      <c r="B1119" s="293" t="s">
        <v>1120</v>
      </c>
      <c r="C1119" s="294" t="s">
        <v>2141</v>
      </c>
      <c r="D1119" s="295" t="s">
        <v>2141</v>
      </c>
      <c r="E1119" s="293" t="s">
        <v>1095</v>
      </c>
      <c r="F1119" s="293" t="s">
        <v>775</v>
      </c>
      <c r="G1119" s="293" t="s">
        <v>13217</v>
      </c>
      <c r="H1119" s="302" t="s">
        <v>15880</v>
      </c>
      <c r="I1119" s="297" t="s">
        <v>1753</v>
      </c>
      <c r="J1119" s="297" t="s">
        <v>12830</v>
      </c>
      <c r="K1119" s="298" t="s">
        <v>15855</v>
      </c>
      <c r="L1119" s="298" t="s">
        <v>15855</v>
      </c>
      <c r="M1119" s="298" t="s">
        <v>15855</v>
      </c>
      <c r="N1119" s="298" t="s">
        <v>15855</v>
      </c>
      <c r="O1119" s="298" t="s">
        <v>15855</v>
      </c>
      <c r="P1119" s="299" t="s">
        <v>15857</v>
      </c>
      <c r="Q1119" s="300" t="s">
        <v>15855</v>
      </c>
      <c r="R1119" s="182" t="str">
        <f ca="1">IF(ISERROR($V1119),"",OFFSET('Smelter Look-up'!$C$4,$V1119-4,0)&amp;"")</f>
        <v>PT Refined Bangka Tin</v>
      </c>
      <c r="S1119" s="181" t="str">
        <f t="shared" ca="1" si="158"/>
        <v>ID</v>
      </c>
      <c r="T1119" s="181" t="str">
        <f ca="1">IF(B1119="","",IF(ISERROR(MATCH($J1119,SorP!$B$1:$B$6226,0)),"",INDIRECT("'SorP'!$A$"&amp;MATCH($S1119&amp;$J1119,SorP!C:C,0))))</f>
        <v>ID-BB</v>
      </c>
      <c r="U1119" s="201"/>
      <c r="V1119" s="226">
        <f>IF(C1119="",NA(),IF(OR(C1119="Smelter not listed",C1119="Smelter not yet identified"),MATCH($B1119&amp;$D1119,'Smelter Look-up'!$J:$J,0),MATCH($B1119&amp;$C1119,'Smelter Look-up'!$J:$J,0)))</f>
        <v>526</v>
      </c>
      <c r="X1119" s="227">
        <f t="shared" si="159"/>
        <v>0</v>
      </c>
      <c r="AB1119" s="228" t="str">
        <f t="shared" si="160"/>
        <v>TinPT Refined Bangka Tin</v>
      </c>
    </row>
    <row r="1120" spans="1:28" s="227" customFormat="1" ht="54">
      <c r="A1120" s="301" t="s">
        <v>775</v>
      </c>
      <c r="B1120" s="293" t="s">
        <v>1120</v>
      </c>
      <c r="C1120" s="294" t="s">
        <v>2141</v>
      </c>
      <c r="D1120" s="295" t="s">
        <v>2141</v>
      </c>
      <c r="E1120" s="293" t="s">
        <v>1095</v>
      </c>
      <c r="F1120" s="293" t="s">
        <v>775</v>
      </c>
      <c r="G1120" s="293" t="s">
        <v>13217</v>
      </c>
      <c r="H1120" s="302" t="s">
        <v>15880</v>
      </c>
      <c r="I1120" s="297" t="s">
        <v>1753</v>
      </c>
      <c r="J1120" s="297" t="s">
        <v>12830</v>
      </c>
      <c r="K1120" s="298" t="s">
        <v>15855</v>
      </c>
      <c r="L1120" s="298" t="s">
        <v>15855</v>
      </c>
      <c r="M1120" s="298" t="s">
        <v>15855</v>
      </c>
      <c r="N1120" s="298" t="s">
        <v>16800</v>
      </c>
      <c r="O1120" s="298" t="s">
        <v>16801</v>
      </c>
      <c r="P1120" s="299" t="s">
        <v>15857</v>
      </c>
      <c r="Q1120" s="300" t="s">
        <v>15855</v>
      </c>
      <c r="R1120" s="182" t="str">
        <f ca="1">IF(ISERROR($V1120),"",OFFSET('Smelter Look-up'!$C$4,$V1120-4,0)&amp;"")</f>
        <v>PT Refined Bangka Tin</v>
      </c>
      <c r="S1120" s="181" t="str">
        <f t="shared" ca="1" si="158"/>
        <v>ID</v>
      </c>
      <c r="T1120" s="181" t="str">
        <f ca="1">IF(B1120="","",IF(ISERROR(MATCH($J1120,SorP!$B$1:$B$6226,0)),"",INDIRECT("'SorP'!$A$"&amp;MATCH($S1120&amp;$J1120,SorP!C:C,0))))</f>
        <v>ID-BB</v>
      </c>
      <c r="U1120" s="201"/>
      <c r="V1120" s="226">
        <f>IF(C1120="",NA(),IF(OR(C1120="Smelter not listed",C1120="Smelter not yet identified"),MATCH($B1120&amp;$D1120,'Smelter Look-up'!$J:$J,0),MATCH($B1120&amp;$C1120,'Smelter Look-up'!$J:$J,0)))</f>
        <v>526</v>
      </c>
      <c r="X1120" s="227">
        <f t="shared" si="159"/>
        <v>0</v>
      </c>
      <c r="AB1120" s="228" t="str">
        <f t="shared" si="160"/>
        <v>TinPT Refined Bangka Tin</v>
      </c>
    </row>
    <row r="1121" spans="1:28" s="227" customFormat="1" ht="54">
      <c r="A1121" s="301" t="s">
        <v>775</v>
      </c>
      <c r="B1121" s="293" t="s">
        <v>1120</v>
      </c>
      <c r="C1121" s="294" t="s">
        <v>2141</v>
      </c>
      <c r="D1121" s="295" t="s">
        <v>2141</v>
      </c>
      <c r="E1121" s="293" t="s">
        <v>1095</v>
      </c>
      <c r="F1121" s="293" t="s">
        <v>775</v>
      </c>
      <c r="G1121" s="293" t="s">
        <v>13217</v>
      </c>
      <c r="H1121" s="296" t="s">
        <v>16802</v>
      </c>
      <c r="I1121" s="297" t="s">
        <v>1753</v>
      </c>
      <c r="J1121" s="297" t="s">
        <v>12830</v>
      </c>
      <c r="K1121" s="298" t="s">
        <v>15855</v>
      </c>
      <c r="L1121" s="298" t="s">
        <v>15855</v>
      </c>
      <c r="M1121" s="298" t="s">
        <v>16562</v>
      </c>
      <c r="N1121" s="298" t="s">
        <v>15855</v>
      </c>
      <c r="O1121" s="298" t="s">
        <v>15855</v>
      </c>
      <c r="P1121" s="299" t="s">
        <v>15857</v>
      </c>
      <c r="Q1121" s="300" t="s">
        <v>16803</v>
      </c>
      <c r="R1121" s="182" t="str">
        <f ca="1">IF(ISERROR($V1121),"",OFFSET('Smelter Look-up'!$C$4,$V1121-4,0)&amp;"")</f>
        <v>PT Refined Bangka Tin</v>
      </c>
      <c r="S1121" s="181" t="str">
        <f t="shared" ca="1" si="158"/>
        <v>ID</v>
      </c>
      <c r="T1121" s="181" t="str">
        <f ca="1">IF(B1121="","",IF(ISERROR(MATCH($J1121,SorP!$B$1:$B$6226,0)),"",INDIRECT("'SorP'!$A$"&amp;MATCH($S1121&amp;$J1121,SorP!C:C,0))))</f>
        <v>ID-BB</v>
      </c>
      <c r="U1121" s="201"/>
      <c r="V1121" s="226">
        <f>IF(C1121="",NA(),IF(OR(C1121="Smelter not listed",C1121="Smelter not yet identified"),MATCH($B1121&amp;$D1121,'Smelter Look-up'!$J:$J,0),MATCH($B1121&amp;$C1121,'Smelter Look-up'!$J:$J,0)))</f>
        <v>526</v>
      </c>
      <c r="X1121" s="227">
        <f t="shared" si="159"/>
        <v>0</v>
      </c>
      <c r="AB1121" s="228" t="str">
        <f t="shared" si="160"/>
        <v>TinPT Refined Bangka Tin</v>
      </c>
    </row>
    <row r="1122" spans="1:28" s="227" customFormat="1" ht="54">
      <c r="A1122" s="301" t="s">
        <v>775</v>
      </c>
      <c r="B1122" s="293" t="s">
        <v>1120</v>
      </c>
      <c r="C1122" s="294" t="s">
        <v>2141</v>
      </c>
      <c r="D1122" s="295" t="s">
        <v>2141</v>
      </c>
      <c r="E1122" s="293" t="s">
        <v>1095</v>
      </c>
      <c r="F1122" s="293" t="s">
        <v>775</v>
      </c>
      <c r="G1122" s="293" t="s">
        <v>13217</v>
      </c>
      <c r="H1122" s="296" t="s">
        <v>16804</v>
      </c>
      <c r="I1122" s="297" t="s">
        <v>1753</v>
      </c>
      <c r="J1122" s="297" t="s">
        <v>12830</v>
      </c>
      <c r="K1122" s="298" t="s">
        <v>16805</v>
      </c>
      <c r="L1122" s="298" t="s">
        <v>16806</v>
      </c>
      <c r="M1122" s="298" t="s">
        <v>16673</v>
      </c>
      <c r="N1122" s="298" t="s">
        <v>16756</v>
      </c>
      <c r="O1122" s="298" t="s">
        <v>1095</v>
      </c>
      <c r="P1122" s="299" t="s">
        <v>15857</v>
      </c>
      <c r="Q1122" s="300" t="s">
        <v>16611</v>
      </c>
      <c r="R1122" s="182" t="str">
        <f ca="1">IF(ISERROR($V1122),"",OFFSET('Smelter Look-up'!$C$4,$V1122-4,0)&amp;"")</f>
        <v>PT Refined Bangka Tin</v>
      </c>
      <c r="S1122" s="181" t="str">
        <f t="shared" ca="1" si="158"/>
        <v>ID</v>
      </c>
      <c r="T1122" s="181" t="str">
        <f ca="1">IF(B1122="","",IF(ISERROR(MATCH($J1122,SorP!$B$1:$B$6226,0)),"",INDIRECT("'SorP'!$A$"&amp;MATCH($S1122&amp;$J1122,SorP!C:C,0))))</f>
        <v>ID-BB</v>
      </c>
      <c r="U1122" s="201"/>
      <c r="V1122" s="226">
        <f>IF(C1122="",NA(),IF(OR(C1122="Smelter not listed",C1122="Smelter not yet identified"),MATCH($B1122&amp;$D1122,'Smelter Look-up'!$J:$J,0),MATCH($B1122&amp;$C1122,'Smelter Look-up'!$J:$J,0)))</f>
        <v>526</v>
      </c>
      <c r="X1122" s="227">
        <f t="shared" si="159"/>
        <v>0</v>
      </c>
      <c r="AB1122" s="228" t="str">
        <f t="shared" si="160"/>
        <v>TinPT Refined Bangka Tin</v>
      </c>
    </row>
    <row r="1123" spans="1:28" s="227" customFormat="1" ht="54">
      <c r="A1123" s="301" t="s">
        <v>775</v>
      </c>
      <c r="B1123" s="293" t="s">
        <v>1120</v>
      </c>
      <c r="C1123" s="294" t="s">
        <v>2141</v>
      </c>
      <c r="D1123" s="295" t="s">
        <v>2141</v>
      </c>
      <c r="E1123" s="293" t="s">
        <v>1095</v>
      </c>
      <c r="F1123" s="293" t="s">
        <v>775</v>
      </c>
      <c r="G1123" s="293" t="s">
        <v>13217</v>
      </c>
      <c r="H1123" s="296" t="s">
        <v>16804</v>
      </c>
      <c r="I1123" s="297" t="s">
        <v>1753</v>
      </c>
      <c r="J1123" s="297" t="s">
        <v>12830</v>
      </c>
      <c r="K1123" s="298" t="s">
        <v>16793</v>
      </c>
      <c r="L1123" s="298" t="s">
        <v>16794</v>
      </c>
      <c r="M1123" s="298" t="s">
        <v>15855</v>
      </c>
      <c r="N1123" s="298" t="s">
        <v>16756</v>
      </c>
      <c r="O1123" s="298" t="s">
        <v>1095</v>
      </c>
      <c r="P1123" s="299" t="s">
        <v>15857</v>
      </c>
      <c r="Q1123" s="300" t="s">
        <v>16611</v>
      </c>
      <c r="R1123" s="182" t="str">
        <f ca="1">IF(ISERROR($V1123),"",OFFSET('Smelter Look-up'!$C$4,$V1123-4,0)&amp;"")</f>
        <v>PT Refined Bangka Tin</v>
      </c>
      <c r="S1123" s="181" t="str">
        <f t="shared" ca="1" si="158"/>
        <v>ID</v>
      </c>
      <c r="T1123" s="181" t="str">
        <f ca="1">IF(B1123="","",IF(ISERROR(MATCH($J1123,SorP!$B$1:$B$6226,0)),"",INDIRECT("'SorP'!$A$"&amp;MATCH($S1123&amp;$J1123,SorP!C:C,0))))</f>
        <v>ID-BB</v>
      </c>
      <c r="U1123" s="201"/>
      <c r="V1123" s="226">
        <f>IF(C1123="",NA(),IF(OR(C1123="Smelter not listed",C1123="Smelter not yet identified"),MATCH($B1123&amp;$D1123,'Smelter Look-up'!$J:$J,0),MATCH($B1123&amp;$C1123,'Smelter Look-up'!$J:$J,0)))</f>
        <v>526</v>
      </c>
      <c r="X1123" s="227">
        <f t="shared" si="159"/>
        <v>0</v>
      </c>
      <c r="AB1123" s="228" t="str">
        <f t="shared" si="160"/>
        <v>TinPT Refined Bangka Tin</v>
      </c>
    </row>
    <row r="1124" spans="1:28" s="227" customFormat="1" ht="67.5">
      <c r="A1124" s="301" t="s">
        <v>15457</v>
      </c>
      <c r="B1124" s="293" t="s">
        <v>1120</v>
      </c>
      <c r="C1124" s="294" t="s">
        <v>15456</v>
      </c>
      <c r="D1124" s="295" t="s">
        <v>15456</v>
      </c>
      <c r="E1124" s="293" t="s">
        <v>1095</v>
      </c>
      <c r="F1124" s="293" t="s">
        <v>15457</v>
      </c>
      <c r="G1124" s="293" t="s">
        <v>13217</v>
      </c>
      <c r="H1124" s="296" t="s">
        <v>15855</v>
      </c>
      <c r="I1124" s="297" t="s">
        <v>15109</v>
      </c>
      <c r="J1124" s="297" t="s">
        <v>12830</v>
      </c>
      <c r="K1124" s="298" t="s">
        <v>15855</v>
      </c>
      <c r="L1124" s="298" t="s">
        <v>15855</v>
      </c>
      <c r="M1124" s="298" t="s">
        <v>15855</v>
      </c>
      <c r="N1124" s="298" t="s">
        <v>15855</v>
      </c>
      <c r="O1124" s="298" t="s">
        <v>15855</v>
      </c>
      <c r="P1124" s="299" t="s">
        <v>15857</v>
      </c>
      <c r="Q1124" s="300" t="s">
        <v>15855</v>
      </c>
      <c r="R1124" s="182" t="str">
        <f ca="1">IF(ISERROR($V1124),"",OFFSET('Smelter Look-up'!$C$4,$V1124-4,0)&amp;"")</f>
        <v>PT Sariwiguna Binasentosa</v>
      </c>
      <c r="S1124" s="181" t="str">
        <f t="shared" ca="1" si="158"/>
        <v>ID</v>
      </c>
      <c r="T1124" s="181" t="str">
        <f ca="1">IF(B1124="","",IF(ISERROR(MATCH($J1124,SorP!$B$1:$B$6226,0)),"",INDIRECT("'SorP'!$A$"&amp;MATCH($S1124&amp;$J1124,SorP!C:C,0))))</f>
        <v>ID-BB</v>
      </c>
      <c r="U1124" s="201"/>
      <c r="V1124" s="226">
        <f>IF(C1124="",NA(),IF(OR(C1124="Smelter not listed",C1124="Smelter not yet identified"),MATCH($B1124&amp;$D1124,'Smelter Look-up'!$J:$J,0),MATCH($B1124&amp;$C1124,'Smelter Look-up'!$J:$J,0)))</f>
        <v>527</v>
      </c>
      <c r="X1124" s="227">
        <f t="shared" si="159"/>
        <v>0</v>
      </c>
      <c r="AB1124" s="228" t="str">
        <f t="shared" si="160"/>
        <v>TinPT Sariwiguna Binasentosa</v>
      </c>
    </row>
    <row r="1125" spans="1:28" s="227" customFormat="1" ht="67.5">
      <c r="A1125" s="301" t="s">
        <v>15457</v>
      </c>
      <c r="B1125" s="293" t="s">
        <v>1120</v>
      </c>
      <c r="C1125" s="294" t="s">
        <v>15456</v>
      </c>
      <c r="D1125" s="295" t="s">
        <v>15456</v>
      </c>
      <c r="E1125" s="293" t="s">
        <v>1095</v>
      </c>
      <c r="F1125" s="293" t="s">
        <v>15457</v>
      </c>
      <c r="G1125" s="293" t="s">
        <v>13217</v>
      </c>
      <c r="H1125" s="296" t="s">
        <v>15855</v>
      </c>
      <c r="I1125" s="297" t="s">
        <v>15109</v>
      </c>
      <c r="J1125" s="297" t="s">
        <v>12830</v>
      </c>
      <c r="K1125" s="298" t="s">
        <v>15855</v>
      </c>
      <c r="L1125" s="298" t="s">
        <v>15855</v>
      </c>
      <c r="M1125" s="298" t="s">
        <v>15855</v>
      </c>
      <c r="N1125" s="298" t="s">
        <v>15855</v>
      </c>
      <c r="O1125" s="298" t="s">
        <v>15858</v>
      </c>
      <c r="P1125" s="299" t="s">
        <v>15857</v>
      </c>
      <c r="Q1125" s="300" t="s">
        <v>15855</v>
      </c>
      <c r="R1125" s="182" t="str">
        <f ca="1">IF(ISERROR($V1125),"",OFFSET('Smelter Look-up'!$C$4,$V1125-4,0)&amp;"")</f>
        <v>PT Sariwiguna Binasentosa</v>
      </c>
      <c r="S1125" s="181" t="str">
        <f t="shared" ca="1" si="158"/>
        <v>ID</v>
      </c>
      <c r="T1125" s="181" t="str">
        <f ca="1">IF(B1125="","",IF(ISERROR(MATCH($J1125,SorP!$B$1:$B$6226,0)),"",INDIRECT("'SorP'!$A$"&amp;MATCH($S1125&amp;$J1125,SorP!C:C,0))))</f>
        <v>ID-BB</v>
      </c>
      <c r="U1125" s="201"/>
      <c r="V1125" s="226">
        <f>IF(C1125="",NA(),IF(OR(C1125="Smelter not listed",C1125="Smelter not yet identified"),MATCH($B1125&amp;$D1125,'Smelter Look-up'!$J:$J,0),MATCH($B1125&amp;$C1125,'Smelter Look-up'!$J:$J,0)))</f>
        <v>527</v>
      </c>
      <c r="X1125" s="227">
        <f t="shared" si="159"/>
        <v>0</v>
      </c>
      <c r="AB1125" s="228" t="str">
        <f t="shared" si="160"/>
        <v>TinPT Sariwiguna Binasentosa</v>
      </c>
    </row>
    <row r="1126" spans="1:28" s="227" customFormat="1" ht="67.5">
      <c r="A1126" s="301" t="s">
        <v>15457</v>
      </c>
      <c r="B1126" s="293" t="s">
        <v>1120</v>
      </c>
      <c r="C1126" s="294" t="s">
        <v>15456</v>
      </c>
      <c r="D1126" s="295" t="s">
        <v>15456</v>
      </c>
      <c r="E1126" s="293" t="s">
        <v>1095</v>
      </c>
      <c r="F1126" s="293" t="s">
        <v>15457</v>
      </c>
      <c r="G1126" s="293" t="s">
        <v>13217</v>
      </c>
      <c r="H1126" s="302" t="s">
        <v>15880</v>
      </c>
      <c r="I1126" s="297" t="s">
        <v>15109</v>
      </c>
      <c r="J1126" s="297" t="s">
        <v>12830</v>
      </c>
      <c r="K1126" s="298" t="s">
        <v>15855</v>
      </c>
      <c r="L1126" s="298" t="s">
        <v>15855</v>
      </c>
      <c r="M1126" s="298" t="s">
        <v>15855</v>
      </c>
      <c r="N1126" s="298" t="s">
        <v>15855</v>
      </c>
      <c r="O1126" s="298" t="s">
        <v>15855</v>
      </c>
      <c r="P1126" s="299" t="s">
        <v>15857</v>
      </c>
      <c r="Q1126" s="300" t="s">
        <v>15855</v>
      </c>
      <c r="R1126" s="182" t="str">
        <f ca="1">IF(ISERROR($V1126),"",OFFSET('Smelter Look-up'!$C$4,$V1126-4,0)&amp;"")</f>
        <v>PT Sariwiguna Binasentosa</v>
      </c>
      <c r="S1126" s="181" t="str">
        <f t="shared" ca="1" si="158"/>
        <v>ID</v>
      </c>
      <c r="T1126" s="181" t="str">
        <f ca="1">IF(B1126="","",IF(ISERROR(MATCH($J1126,SorP!$B$1:$B$6226,0)),"",INDIRECT("'SorP'!$A$"&amp;MATCH($S1126&amp;$J1126,SorP!C:C,0))))</f>
        <v>ID-BB</v>
      </c>
      <c r="U1126" s="201"/>
      <c r="V1126" s="226">
        <f>IF(C1126="",NA(),IF(OR(C1126="Smelter not listed",C1126="Smelter not yet identified"),MATCH($B1126&amp;$D1126,'Smelter Look-up'!$J:$J,0),MATCH($B1126&amp;$C1126,'Smelter Look-up'!$J:$J,0)))</f>
        <v>527</v>
      </c>
      <c r="X1126" s="227">
        <f t="shared" si="159"/>
        <v>0</v>
      </c>
      <c r="AB1126" s="228" t="str">
        <f t="shared" si="160"/>
        <v>TinPT Sariwiguna Binasentosa</v>
      </c>
    </row>
    <row r="1127" spans="1:28" s="227" customFormat="1" ht="67.5">
      <c r="A1127" s="301" t="s">
        <v>15457</v>
      </c>
      <c r="B1127" s="293" t="s">
        <v>1120</v>
      </c>
      <c r="C1127" s="294" t="s">
        <v>15456</v>
      </c>
      <c r="D1127" s="295" t="s">
        <v>15456</v>
      </c>
      <c r="E1127" s="293" t="s">
        <v>1095</v>
      </c>
      <c r="F1127" s="293" t="s">
        <v>15457</v>
      </c>
      <c r="G1127" s="293" t="s">
        <v>13217</v>
      </c>
      <c r="H1127" s="296" t="s">
        <v>16807</v>
      </c>
      <c r="I1127" s="297" t="s">
        <v>15109</v>
      </c>
      <c r="J1127" s="297" t="s">
        <v>12830</v>
      </c>
      <c r="K1127" s="298" t="s">
        <v>16808</v>
      </c>
      <c r="L1127" s="298" t="s">
        <v>16809</v>
      </c>
      <c r="M1127" s="298" t="s">
        <v>16670</v>
      </c>
      <c r="N1127" s="298" t="s">
        <v>16810</v>
      </c>
      <c r="O1127" s="298" t="s">
        <v>16735</v>
      </c>
      <c r="P1127" s="299" t="s">
        <v>15857</v>
      </c>
      <c r="Q1127" s="300" t="s">
        <v>16611</v>
      </c>
      <c r="R1127" s="182" t="str">
        <f ca="1">IF(ISERROR($V1127),"",OFFSET('Smelter Look-up'!$C$4,$V1127-4,0)&amp;"")</f>
        <v>PT Sariwiguna Binasentosa</v>
      </c>
      <c r="S1127" s="181" t="str">
        <f t="shared" ca="1" si="158"/>
        <v>ID</v>
      </c>
      <c r="T1127" s="181" t="str">
        <f ca="1">IF(B1127="","",IF(ISERROR(MATCH($J1127,SorP!$B$1:$B$6226,0)),"",INDIRECT("'SorP'!$A$"&amp;MATCH($S1127&amp;$J1127,SorP!C:C,0))))</f>
        <v>ID-BB</v>
      </c>
      <c r="U1127" s="201"/>
      <c r="V1127" s="226">
        <f>IF(C1127="",NA(),IF(OR(C1127="Smelter not listed",C1127="Smelter not yet identified"),MATCH($B1127&amp;$D1127,'Smelter Look-up'!$J:$J,0),MATCH($B1127&amp;$C1127,'Smelter Look-up'!$J:$J,0)))</f>
        <v>527</v>
      </c>
      <c r="X1127" s="227">
        <f t="shared" si="159"/>
        <v>0</v>
      </c>
      <c r="AB1127" s="228" t="str">
        <f t="shared" si="160"/>
        <v>TinPT Sariwiguna Binasentosa</v>
      </c>
    </row>
    <row r="1128" spans="1:28" s="227" customFormat="1" ht="67.5">
      <c r="A1128" s="301" t="s">
        <v>15457</v>
      </c>
      <c r="B1128" s="293" t="s">
        <v>1120</v>
      </c>
      <c r="C1128" s="294" t="s">
        <v>15456</v>
      </c>
      <c r="D1128" s="295" t="s">
        <v>15456</v>
      </c>
      <c r="E1128" s="293" t="s">
        <v>1095</v>
      </c>
      <c r="F1128" s="293" t="s">
        <v>15457</v>
      </c>
      <c r="G1128" s="293" t="s">
        <v>13217</v>
      </c>
      <c r="H1128" s="296" t="s">
        <v>16807</v>
      </c>
      <c r="I1128" s="297" t="s">
        <v>15109</v>
      </c>
      <c r="J1128" s="297" t="s">
        <v>12830</v>
      </c>
      <c r="K1128" s="298" t="s">
        <v>16808</v>
      </c>
      <c r="L1128" s="298" t="s">
        <v>16809</v>
      </c>
      <c r="M1128" s="298" t="s">
        <v>16673</v>
      </c>
      <c r="N1128" s="298" t="s">
        <v>16810</v>
      </c>
      <c r="O1128" s="298" t="s">
        <v>16735</v>
      </c>
      <c r="P1128" s="299" t="s">
        <v>15857</v>
      </c>
      <c r="Q1128" s="300" t="s">
        <v>16611</v>
      </c>
      <c r="R1128" s="182" t="str">
        <f ca="1">IF(ISERROR($V1128),"",OFFSET('Smelter Look-up'!$C$4,$V1128-4,0)&amp;"")</f>
        <v>PT Sariwiguna Binasentosa</v>
      </c>
      <c r="S1128" s="181" t="str">
        <f t="shared" ca="1" si="158"/>
        <v>ID</v>
      </c>
      <c r="T1128" s="181" t="str">
        <f ca="1">IF(B1128="","",IF(ISERROR(MATCH($J1128,SorP!$B$1:$B$6226,0)),"",INDIRECT("'SorP'!$A$"&amp;MATCH($S1128&amp;$J1128,SorP!C:C,0))))</f>
        <v>ID-BB</v>
      </c>
      <c r="U1128" s="201"/>
      <c r="V1128" s="226">
        <f>IF(C1128="",NA(),IF(OR(C1128="Smelter not listed",C1128="Smelter not yet identified"),MATCH($B1128&amp;$D1128,'Smelter Look-up'!$J:$J,0),MATCH($B1128&amp;$C1128,'Smelter Look-up'!$J:$J,0)))</f>
        <v>527</v>
      </c>
      <c r="X1128" s="227">
        <f t="shared" si="159"/>
        <v>0</v>
      </c>
      <c r="AB1128" s="228" t="str">
        <f t="shared" si="160"/>
        <v>TinPT Sariwiguna Binasentosa</v>
      </c>
    </row>
    <row r="1129" spans="1:28" s="227" customFormat="1" ht="54">
      <c r="A1129" s="301" t="s">
        <v>15084</v>
      </c>
      <c r="B1129" s="293" t="s">
        <v>1120</v>
      </c>
      <c r="C1129" s="294" t="s">
        <v>15083</v>
      </c>
      <c r="D1129" s="295" t="s">
        <v>15083</v>
      </c>
      <c r="E1129" s="293" t="s">
        <v>1095</v>
      </c>
      <c r="F1129" s="293" t="s">
        <v>15084</v>
      </c>
      <c r="G1129" s="293" t="s">
        <v>13217</v>
      </c>
      <c r="H1129" s="296" t="s">
        <v>15855</v>
      </c>
      <c r="I1129" s="297" t="s">
        <v>15109</v>
      </c>
      <c r="J1129" s="297" t="s">
        <v>12830</v>
      </c>
      <c r="K1129" s="298" t="s">
        <v>15855</v>
      </c>
      <c r="L1129" s="298" t="s">
        <v>15855</v>
      </c>
      <c r="M1129" s="298" t="s">
        <v>15855</v>
      </c>
      <c r="N1129" s="298" t="s">
        <v>15855</v>
      </c>
      <c r="O1129" s="298" t="s">
        <v>15855</v>
      </c>
      <c r="P1129" s="299" t="s">
        <v>15857</v>
      </c>
      <c r="Q1129" s="300" t="s">
        <v>15855</v>
      </c>
      <c r="R1129" s="182" t="str">
        <f ca="1">IF(ISERROR($V1129),"",OFFSET('Smelter Look-up'!$C$4,$V1129-4,0)&amp;"")</f>
        <v>PT Stanindo Inti Perkasa</v>
      </c>
      <c r="S1129" s="181" t="str">
        <f t="shared" ca="1" si="158"/>
        <v>ID</v>
      </c>
      <c r="T1129" s="181" t="str">
        <f ca="1">IF(B1129="","",IF(ISERROR(MATCH($J1129,SorP!$B$1:$B$6226,0)),"",INDIRECT("'SorP'!$A$"&amp;MATCH($S1129&amp;$J1129,SorP!C:C,0))))</f>
        <v>ID-BB</v>
      </c>
      <c r="U1129" s="201"/>
      <c r="V1129" s="226">
        <f>IF(C1129="",NA(),IF(OR(C1129="Smelter not listed",C1129="Smelter not yet identified"),MATCH($B1129&amp;$D1129,'Smelter Look-up'!$J:$J,0),MATCH($B1129&amp;$C1129,'Smelter Look-up'!$J:$J,0)))</f>
        <v>528</v>
      </c>
      <c r="X1129" s="227">
        <f t="shared" si="159"/>
        <v>0</v>
      </c>
      <c r="AB1129" s="228" t="str">
        <f t="shared" si="160"/>
        <v>TinPT Stanindo Inti Perkasa</v>
      </c>
    </row>
    <row r="1130" spans="1:28" s="227" customFormat="1" ht="54">
      <c r="A1130" s="301" t="s">
        <v>15084</v>
      </c>
      <c r="B1130" s="293" t="s">
        <v>1120</v>
      </c>
      <c r="C1130" s="294" t="s">
        <v>15083</v>
      </c>
      <c r="D1130" s="295" t="s">
        <v>15083</v>
      </c>
      <c r="E1130" s="293" t="s">
        <v>1095</v>
      </c>
      <c r="F1130" s="293" t="s">
        <v>15084</v>
      </c>
      <c r="G1130" s="293" t="s">
        <v>13217</v>
      </c>
      <c r="H1130" s="296" t="s">
        <v>15855</v>
      </c>
      <c r="I1130" s="297" t="s">
        <v>15109</v>
      </c>
      <c r="J1130" s="297" t="s">
        <v>12830</v>
      </c>
      <c r="K1130" s="298" t="s">
        <v>15855</v>
      </c>
      <c r="L1130" s="298" t="s">
        <v>15855</v>
      </c>
      <c r="M1130" s="298" t="s">
        <v>15855</v>
      </c>
      <c r="N1130" s="298" t="s">
        <v>15855</v>
      </c>
      <c r="O1130" s="298" t="s">
        <v>15855</v>
      </c>
      <c r="P1130" s="299" t="s">
        <v>15857</v>
      </c>
      <c r="Q1130" s="300" t="s">
        <v>16531</v>
      </c>
      <c r="R1130" s="182" t="str">
        <f ca="1">IF(ISERROR($V1130),"",OFFSET('Smelter Look-up'!$C$4,$V1130-4,0)&amp;"")</f>
        <v>PT Stanindo Inti Perkasa</v>
      </c>
      <c r="S1130" s="181" t="str">
        <f t="shared" ca="1" si="158"/>
        <v>ID</v>
      </c>
      <c r="T1130" s="181" t="str">
        <f ca="1">IF(B1130="","",IF(ISERROR(MATCH($J1130,SorP!$B$1:$B$6226,0)),"",INDIRECT("'SorP'!$A$"&amp;MATCH($S1130&amp;$J1130,SorP!C:C,0))))</f>
        <v>ID-BB</v>
      </c>
      <c r="U1130" s="201"/>
      <c r="V1130" s="226">
        <f>IF(C1130="",NA(),IF(OR(C1130="Smelter not listed",C1130="Smelter not yet identified"),MATCH($B1130&amp;$D1130,'Smelter Look-up'!$J:$J,0),MATCH($B1130&amp;$C1130,'Smelter Look-up'!$J:$J,0)))</f>
        <v>528</v>
      </c>
      <c r="X1130" s="227">
        <f t="shared" si="159"/>
        <v>0</v>
      </c>
      <c r="AB1130" s="228" t="str">
        <f t="shared" si="160"/>
        <v>TinPT Stanindo Inti Perkasa</v>
      </c>
    </row>
    <row r="1131" spans="1:28" s="227" customFormat="1" ht="54">
      <c r="A1131" s="301" t="s">
        <v>15084</v>
      </c>
      <c r="B1131" s="293" t="s">
        <v>1120</v>
      </c>
      <c r="C1131" s="294" t="s">
        <v>15083</v>
      </c>
      <c r="D1131" s="295" t="s">
        <v>15083</v>
      </c>
      <c r="E1131" s="293" t="s">
        <v>1095</v>
      </c>
      <c r="F1131" s="293" t="s">
        <v>15084</v>
      </c>
      <c r="G1131" s="293" t="s">
        <v>13217</v>
      </c>
      <c r="H1131" s="296" t="s">
        <v>15855</v>
      </c>
      <c r="I1131" s="297" t="s">
        <v>15109</v>
      </c>
      <c r="J1131" s="297" t="s">
        <v>12830</v>
      </c>
      <c r="K1131" s="298" t="s">
        <v>15855</v>
      </c>
      <c r="L1131" s="298" t="s">
        <v>15855</v>
      </c>
      <c r="M1131" s="298" t="s">
        <v>15855</v>
      </c>
      <c r="N1131" s="298" t="s">
        <v>15855</v>
      </c>
      <c r="O1131" s="298" t="s">
        <v>16731</v>
      </c>
      <c r="P1131" s="299" t="s">
        <v>15857</v>
      </c>
      <c r="Q1131" s="300" t="s">
        <v>15855</v>
      </c>
      <c r="R1131" s="182" t="str">
        <f ca="1">IF(ISERROR($V1131),"",OFFSET('Smelter Look-up'!$C$4,$V1131-4,0)&amp;"")</f>
        <v>PT Stanindo Inti Perkasa</v>
      </c>
      <c r="S1131" s="181" t="str">
        <f t="shared" ca="1" si="158"/>
        <v>ID</v>
      </c>
      <c r="T1131" s="181" t="str">
        <f ca="1">IF(B1131="","",IF(ISERROR(MATCH($J1131,SorP!$B$1:$B$6226,0)),"",INDIRECT("'SorP'!$A$"&amp;MATCH($S1131&amp;$J1131,SorP!C:C,0))))</f>
        <v>ID-BB</v>
      </c>
      <c r="U1131" s="201"/>
      <c r="V1131" s="226">
        <f>IF(C1131="",NA(),IF(OR(C1131="Smelter not listed",C1131="Smelter not yet identified"),MATCH($B1131&amp;$D1131,'Smelter Look-up'!$J:$J,0),MATCH($B1131&amp;$C1131,'Smelter Look-up'!$J:$J,0)))</f>
        <v>528</v>
      </c>
      <c r="X1131" s="227">
        <f t="shared" si="159"/>
        <v>0</v>
      </c>
      <c r="AB1131" s="228" t="str">
        <f t="shared" si="160"/>
        <v>TinPT Stanindo Inti Perkasa</v>
      </c>
    </row>
    <row r="1132" spans="1:28" s="227" customFormat="1" ht="54">
      <c r="A1132" s="301" t="s">
        <v>15084</v>
      </c>
      <c r="B1132" s="293" t="s">
        <v>1120</v>
      </c>
      <c r="C1132" s="294" t="s">
        <v>15083</v>
      </c>
      <c r="D1132" s="295" t="s">
        <v>15083</v>
      </c>
      <c r="E1132" s="293" t="s">
        <v>1095</v>
      </c>
      <c r="F1132" s="293" t="s">
        <v>15084</v>
      </c>
      <c r="G1132" s="293" t="s">
        <v>13217</v>
      </c>
      <c r="H1132" s="296" t="s">
        <v>15855</v>
      </c>
      <c r="I1132" s="297" t="s">
        <v>15109</v>
      </c>
      <c r="J1132" s="297" t="s">
        <v>12830</v>
      </c>
      <c r="K1132" s="298" t="s">
        <v>16811</v>
      </c>
      <c r="L1132" s="298" t="s">
        <v>16812</v>
      </c>
      <c r="M1132" s="298" t="s">
        <v>15869</v>
      </c>
      <c r="N1132" s="298" t="s">
        <v>15862</v>
      </c>
      <c r="O1132" s="298" t="s">
        <v>16456</v>
      </c>
      <c r="P1132" s="299" t="s">
        <v>15857</v>
      </c>
      <c r="Q1132" s="300" t="s">
        <v>15855</v>
      </c>
      <c r="R1132" s="182" t="str">
        <f ca="1">IF(ISERROR($V1132),"",OFFSET('Smelter Look-up'!$C$4,$V1132-4,0)&amp;"")</f>
        <v>PT Stanindo Inti Perkasa</v>
      </c>
      <c r="S1132" s="181" t="str">
        <f t="shared" ca="1" si="158"/>
        <v>ID</v>
      </c>
      <c r="T1132" s="181" t="str">
        <f ca="1">IF(B1132="","",IF(ISERROR(MATCH($J1132,SorP!$B$1:$B$6226,0)),"",INDIRECT("'SorP'!$A$"&amp;MATCH($S1132&amp;$J1132,SorP!C:C,0))))</f>
        <v>ID-BB</v>
      </c>
      <c r="U1132" s="201"/>
      <c r="V1132" s="226">
        <f>IF(C1132="",NA(),IF(OR(C1132="Smelter not listed",C1132="Smelter not yet identified"),MATCH($B1132&amp;$D1132,'Smelter Look-up'!$J:$J,0),MATCH($B1132&amp;$C1132,'Smelter Look-up'!$J:$J,0)))</f>
        <v>528</v>
      </c>
      <c r="X1132" s="227">
        <f t="shared" si="159"/>
        <v>0</v>
      </c>
      <c r="AB1132" s="228" t="str">
        <f t="shared" si="160"/>
        <v>TinPT Stanindo Inti Perkasa</v>
      </c>
    </row>
    <row r="1133" spans="1:28" s="227" customFormat="1" ht="54">
      <c r="A1133" s="301" t="s">
        <v>15084</v>
      </c>
      <c r="B1133" s="293" t="s">
        <v>1120</v>
      </c>
      <c r="C1133" s="294" t="s">
        <v>15083</v>
      </c>
      <c r="D1133" s="295" t="s">
        <v>15083</v>
      </c>
      <c r="E1133" s="293" t="s">
        <v>1095</v>
      </c>
      <c r="F1133" s="293" t="s">
        <v>15084</v>
      </c>
      <c r="G1133" s="293" t="s">
        <v>13217</v>
      </c>
      <c r="H1133" s="302" t="s">
        <v>15880</v>
      </c>
      <c r="I1133" s="297" t="s">
        <v>15109</v>
      </c>
      <c r="J1133" s="297" t="s">
        <v>12830</v>
      </c>
      <c r="K1133" s="298" t="s">
        <v>15855</v>
      </c>
      <c r="L1133" s="298" t="s">
        <v>15855</v>
      </c>
      <c r="M1133" s="298" t="s">
        <v>15855</v>
      </c>
      <c r="N1133" s="298" t="s">
        <v>15855</v>
      </c>
      <c r="O1133" s="298" t="s">
        <v>15855</v>
      </c>
      <c r="P1133" s="299" t="s">
        <v>15857</v>
      </c>
      <c r="Q1133" s="300" t="s">
        <v>15855</v>
      </c>
      <c r="R1133" s="182" t="str">
        <f ca="1">IF(ISERROR($V1133),"",OFFSET('Smelter Look-up'!$C$4,$V1133-4,0)&amp;"")</f>
        <v>PT Stanindo Inti Perkasa</v>
      </c>
      <c r="S1133" s="181" t="str">
        <f t="shared" ca="1" si="158"/>
        <v>ID</v>
      </c>
      <c r="T1133" s="181" t="str">
        <f ca="1">IF(B1133="","",IF(ISERROR(MATCH($J1133,SorP!$B$1:$B$6226,0)),"",INDIRECT("'SorP'!$A$"&amp;MATCH($S1133&amp;$J1133,SorP!C:C,0))))</f>
        <v>ID-BB</v>
      </c>
      <c r="U1133" s="201"/>
      <c r="V1133" s="226">
        <f>IF(C1133="",NA(),IF(OR(C1133="Smelter not listed",C1133="Smelter not yet identified"),MATCH($B1133&amp;$D1133,'Smelter Look-up'!$J:$J,0),MATCH($B1133&amp;$C1133,'Smelter Look-up'!$J:$J,0)))</f>
        <v>528</v>
      </c>
      <c r="X1133" s="227">
        <f t="shared" si="159"/>
        <v>0</v>
      </c>
      <c r="AB1133" s="228" t="str">
        <f t="shared" si="160"/>
        <v>TinPT Stanindo Inti Perkasa</v>
      </c>
    </row>
    <row r="1134" spans="1:28" s="227" customFormat="1" ht="54">
      <c r="A1134" s="301" t="s">
        <v>15084</v>
      </c>
      <c r="B1134" s="293" t="s">
        <v>1120</v>
      </c>
      <c r="C1134" s="294" t="s">
        <v>15083</v>
      </c>
      <c r="D1134" s="295" t="s">
        <v>15083</v>
      </c>
      <c r="E1134" s="293" t="s">
        <v>1095</v>
      </c>
      <c r="F1134" s="293" t="s">
        <v>15084</v>
      </c>
      <c r="G1134" s="293" t="s">
        <v>13217</v>
      </c>
      <c r="H1134" s="302" t="s">
        <v>15880</v>
      </c>
      <c r="I1134" s="297" t="s">
        <v>15109</v>
      </c>
      <c r="J1134" s="297" t="s">
        <v>12830</v>
      </c>
      <c r="K1134" s="298" t="s">
        <v>16813</v>
      </c>
      <c r="L1134" s="298" t="s">
        <v>16814</v>
      </c>
      <c r="M1134" s="298" t="s">
        <v>16345</v>
      </c>
      <c r="N1134" s="298" t="s">
        <v>16540</v>
      </c>
      <c r="O1134" s="298" t="s">
        <v>16540</v>
      </c>
      <c r="P1134" s="299" t="s">
        <v>15857</v>
      </c>
      <c r="Q1134" s="300" t="s">
        <v>16569</v>
      </c>
      <c r="R1134" s="182" t="str">
        <f ca="1">IF(ISERROR($V1134),"",OFFSET('Smelter Look-up'!$C$4,$V1134-4,0)&amp;"")</f>
        <v>PT Stanindo Inti Perkasa</v>
      </c>
      <c r="S1134" s="181" t="str">
        <f t="shared" ca="1" si="158"/>
        <v>ID</v>
      </c>
      <c r="T1134" s="181" t="str">
        <f ca="1">IF(B1134="","",IF(ISERROR(MATCH($J1134,SorP!$B$1:$B$6226,0)),"",INDIRECT("'SorP'!$A$"&amp;MATCH($S1134&amp;$J1134,SorP!C:C,0))))</f>
        <v>ID-BB</v>
      </c>
      <c r="U1134" s="201"/>
      <c r="V1134" s="226">
        <f>IF(C1134="",NA(),IF(OR(C1134="Smelter not listed",C1134="Smelter not yet identified"),MATCH($B1134&amp;$D1134,'Smelter Look-up'!$J:$J,0),MATCH($B1134&amp;$C1134,'Smelter Look-up'!$J:$J,0)))</f>
        <v>528</v>
      </c>
      <c r="X1134" s="227">
        <f t="shared" si="159"/>
        <v>0</v>
      </c>
      <c r="AB1134" s="228" t="str">
        <f t="shared" si="160"/>
        <v>TinPT Stanindo Inti Perkasa</v>
      </c>
    </row>
    <row r="1135" spans="1:28" s="227" customFormat="1" ht="54">
      <c r="A1135" s="301" t="s">
        <v>15084</v>
      </c>
      <c r="B1135" s="293" t="s">
        <v>1120</v>
      </c>
      <c r="C1135" s="294" t="s">
        <v>15083</v>
      </c>
      <c r="D1135" s="295" t="s">
        <v>15083</v>
      </c>
      <c r="E1135" s="293" t="s">
        <v>1095</v>
      </c>
      <c r="F1135" s="293" t="s">
        <v>15084</v>
      </c>
      <c r="G1135" s="293" t="s">
        <v>13217</v>
      </c>
      <c r="H1135" s="296" t="s">
        <v>16815</v>
      </c>
      <c r="I1135" s="297" t="s">
        <v>15109</v>
      </c>
      <c r="J1135" s="297" t="s">
        <v>12830</v>
      </c>
      <c r="K1135" s="298" t="s">
        <v>16816</v>
      </c>
      <c r="L1135" s="298" t="s">
        <v>16817</v>
      </c>
      <c r="M1135" s="298" t="s">
        <v>16673</v>
      </c>
      <c r="N1135" s="298" t="s">
        <v>16818</v>
      </c>
      <c r="O1135" s="298" t="s">
        <v>16735</v>
      </c>
      <c r="P1135" s="299" t="s">
        <v>15857</v>
      </c>
      <c r="Q1135" s="300" t="s">
        <v>16611</v>
      </c>
      <c r="R1135" s="182" t="str">
        <f ca="1">IF(ISERROR($V1135),"",OFFSET('Smelter Look-up'!$C$4,$V1135-4,0)&amp;"")</f>
        <v>PT Stanindo Inti Perkasa</v>
      </c>
      <c r="S1135" s="181" t="str">
        <f t="shared" ca="1" si="158"/>
        <v>ID</v>
      </c>
      <c r="T1135" s="181" t="str">
        <f ca="1">IF(B1135="","",IF(ISERROR(MATCH($J1135,SorP!$B$1:$B$6226,0)),"",INDIRECT("'SorP'!$A$"&amp;MATCH($S1135&amp;$J1135,SorP!C:C,0))))</f>
        <v>ID-BB</v>
      </c>
      <c r="U1135" s="201"/>
      <c r="V1135" s="226">
        <f>IF(C1135="",NA(),IF(OR(C1135="Smelter not listed",C1135="Smelter not yet identified"),MATCH($B1135&amp;$D1135,'Smelter Look-up'!$J:$J,0),MATCH($B1135&amp;$C1135,'Smelter Look-up'!$J:$J,0)))</f>
        <v>528</v>
      </c>
      <c r="X1135" s="227">
        <f t="shared" si="159"/>
        <v>0</v>
      </c>
      <c r="AB1135" s="228" t="str">
        <f t="shared" si="160"/>
        <v>TinPT Stanindo Inti Perkasa</v>
      </c>
    </row>
    <row r="1136" spans="1:28" s="227" customFormat="1" ht="54">
      <c r="A1136" s="301" t="s">
        <v>15458</v>
      </c>
      <c r="B1136" s="293" t="s">
        <v>1120</v>
      </c>
      <c r="C1136" s="294" t="s">
        <v>16819</v>
      </c>
      <c r="D1136" s="295" t="s">
        <v>16819</v>
      </c>
      <c r="E1136" s="293" t="s">
        <v>1095</v>
      </c>
      <c r="F1136" s="293" t="s">
        <v>15458</v>
      </c>
      <c r="G1136" s="293" t="s">
        <v>13217</v>
      </c>
      <c r="H1136" s="296" t="s">
        <v>15855</v>
      </c>
      <c r="I1136" s="297" t="s">
        <v>15513</v>
      </c>
      <c r="J1136" s="297" t="s">
        <v>12830</v>
      </c>
      <c r="K1136" s="298" t="s">
        <v>15855</v>
      </c>
      <c r="L1136" s="298" t="s">
        <v>15855</v>
      </c>
      <c r="M1136" s="298" t="s">
        <v>15855</v>
      </c>
      <c r="N1136" s="298" t="s">
        <v>15855</v>
      </c>
      <c r="O1136" s="298" t="s">
        <v>15855</v>
      </c>
      <c r="P1136" s="299" t="s">
        <v>15857</v>
      </c>
      <c r="Q1136" s="300" t="s">
        <v>15855</v>
      </c>
      <c r="R1136" s="182" t="str">
        <f ca="1">IF(ISERROR($V1136),"",OFFSET('Smelter Look-up'!$C$4,$V1136-4,0)&amp;"")</f>
        <v/>
      </c>
      <c r="S1136" s="181" t="str">
        <f t="shared" ca="1" si="158"/>
        <v>ID</v>
      </c>
      <c r="T1136" s="181" t="str">
        <f ca="1">IF(B1136="","",IF(ISERROR(MATCH($J1136,SorP!$B$1:$B$6226,0)),"",INDIRECT("'SorP'!$A$"&amp;MATCH($S1136&amp;$J1136,SorP!C:C,0))))</f>
        <v>ID-BB</v>
      </c>
      <c r="U1136" s="201"/>
      <c r="V1136" s="226" t="e">
        <f>IF(C1136="",NA(),IF(OR(C1136="Smelter not listed",C1136="Smelter not yet identified"),MATCH($B1136&amp;$D1136,'Smelter Look-up'!$J:$J,0),MATCH($B1136&amp;$C1136,'Smelter Look-up'!$J:$J,0)))</f>
        <v>#N/A</v>
      </c>
      <c r="X1136" s="227">
        <f t="shared" si="159"/>
        <v>0</v>
      </c>
      <c r="AB1136" s="228" t="str">
        <f t="shared" si="160"/>
        <v>TinPT Sukses Inti Makmur</v>
      </c>
    </row>
    <row r="1137" spans="1:28" s="227" customFormat="1" ht="54">
      <c r="A1137" s="301" t="s">
        <v>15458</v>
      </c>
      <c r="B1137" s="293" t="s">
        <v>1120</v>
      </c>
      <c r="C1137" s="294" t="s">
        <v>16819</v>
      </c>
      <c r="D1137" s="295" t="s">
        <v>16819</v>
      </c>
      <c r="E1137" s="293" t="s">
        <v>1095</v>
      </c>
      <c r="F1137" s="293" t="s">
        <v>15458</v>
      </c>
      <c r="G1137" s="293" t="s">
        <v>13217</v>
      </c>
      <c r="H1137" s="296" t="s">
        <v>15855</v>
      </c>
      <c r="I1137" s="297" t="s">
        <v>16820</v>
      </c>
      <c r="J1137" s="297" t="s">
        <v>12830</v>
      </c>
      <c r="K1137" s="298" t="s">
        <v>15855</v>
      </c>
      <c r="L1137" s="298" t="s">
        <v>15855</v>
      </c>
      <c r="M1137" s="298" t="s">
        <v>15855</v>
      </c>
      <c r="N1137" s="298" t="s">
        <v>15855</v>
      </c>
      <c r="O1137" s="298" t="s">
        <v>15855</v>
      </c>
      <c r="P1137" s="299" t="s">
        <v>15857</v>
      </c>
      <c r="Q1137" s="300" t="s">
        <v>15855</v>
      </c>
      <c r="R1137" s="182" t="str">
        <f ca="1">IF(ISERROR($V1137),"",OFFSET('Smelter Look-up'!$C$4,$V1137-4,0)&amp;"")</f>
        <v/>
      </c>
      <c r="S1137" s="181" t="str">
        <f t="shared" ca="1" si="158"/>
        <v>ID</v>
      </c>
      <c r="T1137" s="181" t="str">
        <f ca="1">IF(B1137="","",IF(ISERROR(MATCH($J1137,SorP!$B$1:$B$6226,0)),"",INDIRECT("'SorP'!$A$"&amp;MATCH($S1137&amp;$J1137,SorP!C:C,0))))</f>
        <v>ID-BB</v>
      </c>
      <c r="U1137" s="201"/>
      <c r="V1137" s="226" t="e">
        <f>IF(C1137="",NA(),IF(OR(C1137="Smelter not listed",C1137="Smelter not yet identified"),MATCH($B1137&amp;$D1137,'Smelter Look-up'!$J:$J,0),MATCH($B1137&amp;$C1137,'Smelter Look-up'!$J:$J,0)))</f>
        <v>#N/A</v>
      </c>
      <c r="X1137" s="227">
        <f t="shared" si="159"/>
        <v>0</v>
      </c>
      <c r="AB1137" s="228" t="str">
        <f t="shared" si="160"/>
        <v>TinPT Sukses Inti Makmur</v>
      </c>
    </row>
    <row r="1138" spans="1:28" s="227" customFormat="1" ht="54">
      <c r="A1138" s="301" t="s">
        <v>15458</v>
      </c>
      <c r="B1138" s="293" t="s">
        <v>1120</v>
      </c>
      <c r="C1138" s="294" t="s">
        <v>16819</v>
      </c>
      <c r="D1138" s="295" t="s">
        <v>16819</v>
      </c>
      <c r="E1138" s="293" t="s">
        <v>1095</v>
      </c>
      <c r="F1138" s="293" t="s">
        <v>15458</v>
      </c>
      <c r="G1138" s="293" t="s">
        <v>13217</v>
      </c>
      <c r="H1138" s="302" t="s">
        <v>15880</v>
      </c>
      <c r="I1138" s="297" t="s">
        <v>15513</v>
      </c>
      <c r="J1138" s="297" t="s">
        <v>12830</v>
      </c>
      <c r="K1138" s="298" t="s">
        <v>15855</v>
      </c>
      <c r="L1138" s="298" t="s">
        <v>15855</v>
      </c>
      <c r="M1138" s="298" t="s">
        <v>15855</v>
      </c>
      <c r="N1138" s="298" t="s">
        <v>15855</v>
      </c>
      <c r="O1138" s="298" t="s">
        <v>15855</v>
      </c>
      <c r="P1138" s="299" t="s">
        <v>15857</v>
      </c>
      <c r="Q1138" s="300" t="s">
        <v>16611</v>
      </c>
      <c r="R1138" s="182" t="str">
        <f ca="1">IF(ISERROR($V1138),"",OFFSET('Smelter Look-up'!$C$4,$V1138-4,0)&amp;"")</f>
        <v/>
      </c>
      <c r="S1138" s="181" t="str">
        <f t="shared" ca="1" si="158"/>
        <v>ID</v>
      </c>
      <c r="T1138" s="181" t="str">
        <f ca="1">IF(B1138="","",IF(ISERROR(MATCH($J1138,SorP!$B$1:$B$6226,0)),"",INDIRECT("'SorP'!$A$"&amp;MATCH($S1138&amp;$J1138,SorP!C:C,0))))</f>
        <v>ID-BB</v>
      </c>
      <c r="U1138" s="201"/>
      <c r="V1138" s="226" t="e">
        <f>IF(C1138="",NA(),IF(OR(C1138="Smelter not listed",C1138="Smelter not yet identified"),MATCH($B1138&amp;$D1138,'Smelter Look-up'!$J:$J,0),MATCH($B1138&amp;$C1138,'Smelter Look-up'!$J:$J,0)))</f>
        <v>#N/A</v>
      </c>
      <c r="X1138" s="227">
        <f t="shared" si="159"/>
        <v>0</v>
      </c>
      <c r="AB1138" s="228" t="str">
        <f t="shared" si="160"/>
        <v>TinPT Sukses Inti Makmur</v>
      </c>
    </row>
    <row r="1139" spans="1:28" s="227" customFormat="1" ht="54">
      <c r="A1139" s="301" t="s">
        <v>15458</v>
      </c>
      <c r="B1139" s="293" t="s">
        <v>1120</v>
      </c>
      <c r="C1139" s="294" t="s">
        <v>16819</v>
      </c>
      <c r="D1139" s="295" t="s">
        <v>16819</v>
      </c>
      <c r="E1139" s="293" t="s">
        <v>1095</v>
      </c>
      <c r="F1139" s="293" t="s">
        <v>15458</v>
      </c>
      <c r="G1139" s="293" t="s">
        <v>13217</v>
      </c>
      <c r="H1139" s="302" t="s">
        <v>15880</v>
      </c>
      <c r="I1139" s="297" t="s">
        <v>16820</v>
      </c>
      <c r="J1139" s="297" t="s">
        <v>12830</v>
      </c>
      <c r="K1139" s="298" t="s">
        <v>15855</v>
      </c>
      <c r="L1139" s="298" t="s">
        <v>15855</v>
      </c>
      <c r="M1139" s="298" t="s">
        <v>15855</v>
      </c>
      <c r="N1139" s="298" t="s">
        <v>15855</v>
      </c>
      <c r="O1139" s="298" t="s">
        <v>15855</v>
      </c>
      <c r="P1139" s="299" t="s">
        <v>15857</v>
      </c>
      <c r="Q1139" s="300" t="s">
        <v>15855</v>
      </c>
      <c r="R1139" s="182" t="str">
        <f ca="1">IF(ISERROR($V1139),"",OFFSET('Smelter Look-up'!$C$4,$V1139-4,0)&amp;"")</f>
        <v/>
      </c>
      <c r="S1139" s="181" t="str">
        <f t="shared" ca="1" si="158"/>
        <v>ID</v>
      </c>
      <c r="T1139" s="181" t="str">
        <f ca="1">IF(B1139="","",IF(ISERROR(MATCH($J1139,SorP!$B$1:$B$6226,0)),"",INDIRECT("'SorP'!$A$"&amp;MATCH($S1139&amp;$J1139,SorP!C:C,0))))</f>
        <v>ID-BB</v>
      </c>
      <c r="U1139" s="201"/>
      <c r="V1139" s="226" t="e">
        <f>IF(C1139="",NA(),IF(OR(C1139="Smelter not listed",C1139="Smelter not yet identified"),MATCH($B1139&amp;$D1139,'Smelter Look-up'!$J:$J,0),MATCH($B1139&amp;$C1139,'Smelter Look-up'!$J:$J,0)))</f>
        <v>#N/A</v>
      </c>
      <c r="X1139" s="227">
        <f t="shared" si="159"/>
        <v>0</v>
      </c>
      <c r="AB1139" s="228" t="str">
        <f t="shared" si="160"/>
        <v>TinPT Sukses Inti Makmur</v>
      </c>
    </row>
    <row r="1140" spans="1:28" s="227" customFormat="1" ht="67.5">
      <c r="A1140" s="301" t="s">
        <v>15458</v>
      </c>
      <c r="B1140" s="293" t="s">
        <v>1120</v>
      </c>
      <c r="C1140" s="294" t="s">
        <v>15820</v>
      </c>
      <c r="D1140" s="295" t="s">
        <v>15820</v>
      </c>
      <c r="E1140" s="293" t="s">
        <v>1095</v>
      </c>
      <c r="F1140" s="293" t="s">
        <v>15458</v>
      </c>
      <c r="G1140" s="293" t="s">
        <v>13217</v>
      </c>
      <c r="H1140" s="296" t="s">
        <v>15855</v>
      </c>
      <c r="I1140" s="297" t="s">
        <v>15513</v>
      </c>
      <c r="J1140" s="297" t="s">
        <v>12830</v>
      </c>
      <c r="K1140" s="298" t="s">
        <v>15855</v>
      </c>
      <c r="L1140" s="298" t="s">
        <v>15855</v>
      </c>
      <c r="M1140" s="298" t="s">
        <v>15855</v>
      </c>
      <c r="N1140" s="298" t="s">
        <v>15855</v>
      </c>
      <c r="O1140" s="298" t="s">
        <v>15855</v>
      </c>
      <c r="P1140" s="299" t="s">
        <v>15857</v>
      </c>
      <c r="Q1140" s="300" t="s">
        <v>15855</v>
      </c>
      <c r="R1140" s="182" t="str">
        <f ca="1">IF(ISERROR($V1140),"",OFFSET('Smelter Look-up'!$C$4,$V1140-4,0)&amp;"")</f>
        <v>PT Sukses Inti Makmur (SIM)</v>
      </c>
      <c r="S1140" s="181" t="str">
        <f t="shared" ca="1" si="158"/>
        <v>ID</v>
      </c>
      <c r="T1140" s="181" t="str">
        <f ca="1">IF(B1140="","",IF(ISERROR(MATCH($J1140,SorP!$B$1:$B$6226,0)),"",INDIRECT("'SorP'!$A$"&amp;MATCH($S1140&amp;$J1140,SorP!C:C,0))))</f>
        <v>ID-BB</v>
      </c>
      <c r="U1140" s="201"/>
      <c r="V1140" s="226">
        <f>IF(C1140="",NA(),IF(OR(C1140="Smelter not listed",C1140="Smelter not yet identified"),MATCH($B1140&amp;$D1140,'Smelter Look-up'!$J:$J,0),MATCH($B1140&amp;$C1140,'Smelter Look-up'!$J:$J,0)))</f>
        <v>529</v>
      </c>
      <c r="X1140" s="227">
        <f t="shared" si="159"/>
        <v>0</v>
      </c>
      <c r="AB1140" s="228" t="str">
        <f t="shared" si="160"/>
        <v>TinPT Sukses Inti Makmur (SIM)</v>
      </c>
    </row>
    <row r="1141" spans="1:28" s="227" customFormat="1" ht="67.5">
      <c r="A1141" s="301" t="s">
        <v>15458</v>
      </c>
      <c r="B1141" s="293" t="s">
        <v>1120</v>
      </c>
      <c r="C1141" s="294" t="s">
        <v>15820</v>
      </c>
      <c r="D1141" s="295" t="s">
        <v>15820</v>
      </c>
      <c r="E1141" s="293" t="s">
        <v>1095</v>
      </c>
      <c r="F1141" s="293" t="s">
        <v>15458</v>
      </c>
      <c r="G1141" s="293" t="s">
        <v>13217</v>
      </c>
      <c r="H1141" s="296" t="s">
        <v>15855</v>
      </c>
      <c r="I1141" s="297" t="s">
        <v>15513</v>
      </c>
      <c r="J1141" s="297" t="s">
        <v>12830</v>
      </c>
      <c r="K1141" s="298" t="s">
        <v>15855</v>
      </c>
      <c r="L1141" s="298" t="s">
        <v>15855</v>
      </c>
      <c r="M1141" s="298" t="s">
        <v>15855</v>
      </c>
      <c r="N1141" s="298" t="s">
        <v>15855</v>
      </c>
      <c r="O1141" s="298" t="s">
        <v>15858</v>
      </c>
      <c r="P1141" s="299" t="s">
        <v>15857</v>
      </c>
      <c r="Q1141" s="300" t="s">
        <v>15855</v>
      </c>
      <c r="R1141" s="182" t="str">
        <f ca="1">IF(ISERROR($V1141),"",OFFSET('Smelter Look-up'!$C$4,$V1141-4,0)&amp;"")</f>
        <v>PT Sukses Inti Makmur (SIM)</v>
      </c>
      <c r="S1141" s="181" t="str">
        <f t="shared" ca="1" si="158"/>
        <v>ID</v>
      </c>
      <c r="T1141" s="181" t="str">
        <f ca="1">IF(B1141="","",IF(ISERROR(MATCH($J1141,SorP!$B$1:$B$6226,0)),"",INDIRECT("'SorP'!$A$"&amp;MATCH($S1141&amp;$J1141,SorP!C:C,0))))</f>
        <v>ID-BB</v>
      </c>
      <c r="U1141" s="201"/>
      <c r="V1141" s="226">
        <f>IF(C1141="",NA(),IF(OR(C1141="Smelter not listed",C1141="Smelter not yet identified"),MATCH($B1141&amp;$D1141,'Smelter Look-up'!$J:$J,0),MATCH($B1141&amp;$C1141,'Smelter Look-up'!$J:$J,0)))</f>
        <v>529</v>
      </c>
      <c r="X1141" s="227">
        <f t="shared" si="159"/>
        <v>0</v>
      </c>
      <c r="AB1141" s="228" t="str">
        <f t="shared" si="160"/>
        <v>TinPT Sukses Inti Makmur (SIM)</v>
      </c>
    </row>
    <row r="1142" spans="1:28" s="227" customFormat="1" ht="54">
      <c r="A1142" s="301" t="s">
        <v>16821</v>
      </c>
      <c r="B1142" s="293" t="s">
        <v>1120</v>
      </c>
      <c r="C1142" s="294" t="s">
        <v>16822</v>
      </c>
      <c r="D1142" s="295" t="s">
        <v>16822</v>
      </c>
      <c r="E1142" s="293" t="s">
        <v>1095</v>
      </c>
      <c r="F1142" s="293" t="s">
        <v>16821</v>
      </c>
      <c r="G1142" s="293" t="s">
        <v>13217</v>
      </c>
      <c r="H1142" s="302" t="s">
        <v>15880</v>
      </c>
      <c r="I1142" s="297" t="s">
        <v>15109</v>
      </c>
      <c r="J1142" s="297" t="s">
        <v>12830</v>
      </c>
      <c r="K1142" s="298" t="s">
        <v>15855</v>
      </c>
      <c r="L1142" s="298" t="s">
        <v>15855</v>
      </c>
      <c r="M1142" s="298" t="s">
        <v>15855</v>
      </c>
      <c r="N1142" s="298" t="s">
        <v>15855</v>
      </c>
      <c r="O1142" s="298" t="s">
        <v>15855</v>
      </c>
      <c r="P1142" s="299" t="s">
        <v>15857</v>
      </c>
      <c r="Q1142" s="300" t="s">
        <v>15855</v>
      </c>
      <c r="R1142" s="182" t="str">
        <f ca="1">IF(ISERROR($V1142),"",OFFSET('Smelter Look-up'!$C$4,$V1142-4,0)&amp;"")</f>
        <v/>
      </c>
      <c r="S1142" s="181" t="str">
        <f t="shared" ca="1" si="158"/>
        <v>ID</v>
      </c>
      <c r="T1142" s="181" t="str">
        <f ca="1">IF(B1142="","",IF(ISERROR(MATCH($J1142,SorP!$B$1:$B$6226,0)),"",INDIRECT("'SorP'!$A$"&amp;MATCH($S1142&amp;$J1142,SorP!C:C,0))))</f>
        <v>ID-BB</v>
      </c>
      <c r="U1142" s="201"/>
      <c r="V1142" s="226" t="e">
        <f>IF(C1142="",NA(),IF(OR(C1142="Smelter not listed",C1142="Smelter not yet identified"),MATCH($B1142&amp;$D1142,'Smelter Look-up'!$J:$J,0),MATCH($B1142&amp;$C1142,'Smelter Look-up'!$J:$J,0)))</f>
        <v>#N/A</v>
      </c>
      <c r="X1142" s="227">
        <f t="shared" si="159"/>
        <v>0</v>
      </c>
      <c r="AB1142" s="228" t="str">
        <f t="shared" si="160"/>
        <v>TinPT Sumber Jaya Indah</v>
      </c>
    </row>
    <row r="1143" spans="1:28" s="227" customFormat="1" ht="40.5">
      <c r="A1143" s="301" t="s">
        <v>794</v>
      </c>
      <c r="B1143" s="293" t="s">
        <v>1120</v>
      </c>
      <c r="C1143" s="294" t="s">
        <v>1779</v>
      </c>
      <c r="D1143" s="295" t="s">
        <v>16823</v>
      </c>
      <c r="E1143" s="293" t="s">
        <v>1095</v>
      </c>
      <c r="F1143" s="293" t="s">
        <v>794</v>
      </c>
      <c r="G1143" s="293" t="s">
        <v>15865</v>
      </c>
      <c r="H1143" s="296" t="s">
        <v>15855</v>
      </c>
      <c r="I1143" s="297" t="s">
        <v>1778</v>
      </c>
      <c r="J1143" s="297" t="s">
        <v>16824</v>
      </c>
      <c r="K1143" s="298" t="s">
        <v>15855</v>
      </c>
      <c r="L1143" s="298" t="s">
        <v>15855</v>
      </c>
      <c r="M1143" s="298" t="s">
        <v>15855</v>
      </c>
      <c r="N1143" s="298" t="s">
        <v>15855</v>
      </c>
      <c r="O1143" s="298" t="s">
        <v>15855</v>
      </c>
      <c r="P1143" s="299" t="s">
        <v>15857</v>
      </c>
      <c r="Q1143" s="300" t="s">
        <v>15855</v>
      </c>
      <c r="R1143" s="182" t="str">
        <f ca="1">IF(ISERROR($V1143),"",OFFSET('Smelter Look-up'!$C$4,$V1143-4,0)&amp;"")</f>
        <v>PT Timah Tbk Kundur</v>
      </c>
      <c r="S1143" s="181" t="str">
        <f t="shared" ca="1" si="158"/>
        <v>ID</v>
      </c>
      <c r="T1143" s="181" t="str">
        <f ca="1">IF(B1143="","",IF(ISERROR(MATCH($J1143,SorP!$B$1:$B$6226,0)),"",INDIRECT("'SorP'!$A$"&amp;MATCH($S1143&amp;$J1143,SorP!C:C,0))))</f>
        <v/>
      </c>
      <c r="U1143" s="201"/>
      <c r="V1143" s="226">
        <f>IF(C1143="",NA(),IF(OR(C1143="Smelter not listed",C1143="Smelter not yet identified"),MATCH($B1143&amp;$D1143,'Smelter Look-up'!$J:$J,0),MATCH($B1143&amp;$C1143,'Smelter Look-up'!$J:$J,0)))</f>
        <v>468</v>
      </c>
      <c r="X1143" s="227">
        <f t="shared" si="159"/>
        <v>0</v>
      </c>
      <c r="AB1143" s="228" t="str">
        <f t="shared" si="160"/>
        <v>TinKundur Smelter</v>
      </c>
    </row>
    <row r="1144" spans="1:28" s="227" customFormat="1" ht="67.5">
      <c r="A1144" s="301" t="s">
        <v>794</v>
      </c>
      <c r="B1144" s="293" t="s">
        <v>1120</v>
      </c>
      <c r="C1144" s="294" t="s">
        <v>16823</v>
      </c>
      <c r="D1144" s="295" t="s">
        <v>16823</v>
      </c>
      <c r="E1144" s="293" t="s">
        <v>1095</v>
      </c>
      <c r="F1144" s="293" t="s">
        <v>794</v>
      </c>
      <c r="G1144" s="293" t="s">
        <v>15865</v>
      </c>
      <c r="H1144" s="296" t="s">
        <v>15855</v>
      </c>
      <c r="I1144" s="297" t="s">
        <v>1778</v>
      </c>
      <c r="J1144" s="297" t="s">
        <v>16824</v>
      </c>
      <c r="K1144" s="298" t="s">
        <v>15855</v>
      </c>
      <c r="L1144" s="298" t="s">
        <v>15855</v>
      </c>
      <c r="M1144" s="298" t="s">
        <v>15855</v>
      </c>
      <c r="N1144" s="298" t="s">
        <v>15855</v>
      </c>
      <c r="O1144" s="298" t="s">
        <v>15855</v>
      </c>
      <c r="P1144" s="299" t="s">
        <v>15857</v>
      </c>
      <c r="Q1144" s="300" t="s">
        <v>15855</v>
      </c>
      <c r="R1144" s="182" t="str">
        <f ca="1">IF(ISERROR($V1144),"",OFFSET('Smelter Look-up'!$C$4,$V1144-4,0)&amp;"")</f>
        <v/>
      </c>
      <c r="S1144" s="181" t="str">
        <f t="shared" ca="1" si="158"/>
        <v>ID</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si="159"/>
        <v>0</v>
      </c>
      <c r="AB1144" s="228" t="str">
        <f t="shared" si="160"/>
        <v>TinPT Timah (Persero) Tbk Kundur</v>
      </c>
    </row>
    <row r="1145" spans="1:28" s="227" customFormat="1" ht="67.5">
      <c r="A1145" s="301" t="s">
        <v>794</v>
      </c>
      <c r="B1145" s="293" t="s">
        <v>1120</v>
      </c>
      <c r="C1145" s="294" t="s">
        <v>16823</v>
      </c>
      <c r="D1145" s="295" t="s">
        <v>16823</v>
      </c>
      <c r="E1145" s="293" t="s">
        <v>1095</v>
      </c>
      <c r="F1145" s="293" t="s">
        <v>794</v>
      </c>
      <c r="G1145" s="293" t="s">
        <v>13217</v>
      </c>
      <c r="H1145" s="302" t="s">
        <v>15880</v>
      </c>
      <c r="I1145" s="297" t="s">
        <v>1778</v>
      </c>
      <c r="J1145" s="297" t="s">
        <v>6047</v>
      </c>
      <c r="K1145" s="298" t="s">
        <v>15855</v>
      </c>
      <c r="L1145" s="298" t="s">
        <v>15855</v>
      </c>
      <c r="M1145" s="298" t="s">
        <v>15855</v>
      </c>
      <c r="N1145" s="298" t="s">
        <v>15855</v>
      </c>
      <c r="O1145" s="298" t="s">
        <v>15855</v>
      </c>
      <c r="P1145" s="299" t="s">
        <v>15857</v>
      </c>
      <c r="Q1145" s="300" t="s">
        <v>15855</v>
      </c>
      <c r="R1145" s="182" t="str">
        <f ca="1">IF(ISERROR($V1145),"",OFFSET('Smelter Look-up'!$C$4,$V1145-4,0)&amp;"")</f>
        <v/>
      </c>
      <c r="S1145" s="181" t="str">
        <f t="shared" ca="1" si="158"/>
        <v>ID</v>
      </c>
      <c r="T1145" s="181" t="str">
        <f ca="1">IF(B1145="","",IF(ISERROR(MATCH($J1145,SorP!$B$1:$B$6226,0)),"",INDIRECT("'SorP'!$A$"&amp;MATCH($S1145&amp;$J1145,SorP!C:C,0))))</f>
        <v>ID-RI</v>
      </c>
      <c r="U1145" s="201"/>
      <c r="V1145" s="226" t="e">
        <f>IF(C1145="",NA(),IF(OR(C1145="Smelter not listed",C1145="Smelter not yet identified"),MATCH($B1145&amp;$D1145,'Smelter Look-up'!$J:$J,0),MATCH($B1145&amp;$C1145,'Smelter Look-up'!$J:$J,0)))</f>
        <v>#N/A</v>
      </c>
      <c r="X1145" s="227">
        <f t="shared" si="159"/>
        <v>0</v>
      </c>
      <c r="AB1145" s="228" t="str">
        <f t="shared" si="160"/>
        <v>TinPT Timah (Persero) Tbk Kundur</v>
      </c>
    </row>
    <row r="1146" spans="1:28" s="227" customFormat="1" ht="67.5">
      <c r="A1146" s="301" t="s">
        <v>794</v>
      </c>
      <c r="B1146" s="293" t="s">
        <v>1120</v>
      </c>
      <c r="C1146" s="294" t="s">
        <v>16823</v>
      </c>
      <c r="D1146" s="295" t="s">
        <v>16823</v>
      </c>
      <c r="E1146" s="293" t="s">
        <v>1095</v>
      </c>
      <c r="F1146" s="293" t="s">
        <v>794</v>
      </c>
      <c r="G1146" s="293" t="s">
        <v>13217</v>
      </c>
      <c r="H1146" s="302" t="s">
        <v>15880</v>
      </c>
      <c r="I1146" s="297" t="s">
        <v>1778</v>
      </c>
      <c r="J1146" s="297" t="s">
        <v>6047</v>
      </c>
      <c r="K1146" s="298" t="s">
        <v>16825</v>
      </c>
      <c r="L1146" s="298" t="s">
        <v>16211</v>
      </c>
      <c r="M1146" s="298" t="s">
        <v>16692</v>
      </c>
      <c r="N1146" s="298" t="s">
        <v>16693</v>
      </c>
      <c r="O1146" s="298" t="s">
        <v>16693</v>
      </c>
      <c r="P1146" s="299" t="s">
        <v>15857</v>
      </c>
      <c r="Q1146" s="300" t="s">
        <v>16569</v>
      </c>
      <c r="R1146" s="182" t="str">
        <f ca="1">IF(ISERROR($V1146),"",OFFSET('Smelter Look-up'!$C$4,$V1146-4,0)&amp;"")</f>
        <v/>
      </c>
      <c r="S1146" s="181" t="str">
        <f t="shared" ca="1" si="158"/>
        <v>ID</v>
      </c>
      <c r="T1146" s="181" t="str">
        <f ca="1">IF(B1146="","",IF(ISERROR(MATCH($J1146,SorP!$B$1:$B$6226,0)),"",INDIRECT("'SorP'!$A$"&amp;MATCH($S1146&amp;$J1146,SorP!C:C,0))))</f>
        <v>ID-RI</v>
      </c>
      <c r="U1146" s="201"/>
      <c r="V1146" s="226" t="e">
        <f>IF(C1146="",NA(),IF(OR(C1146="Smelter not listed",C1146="Smelter not yet identified"),MATCH($B1146&amp;$D1146,'Smelter Look-up'!$J:$J,0),MATCH($B1146&amp;$C1146,'Smelter Look-up'!$J:$J,0)))</f>
        <v>#N/A</v>
      </c>
      <c r="X1146" s="227">
        <f t="shared" si="159"/>
        <v>0</v>
      </c>
      <c r="AB1146" s="228" t="str">
        <f t="shared" si="160"/>
        <v>TinPT Timah (Persero) Tbk Kundur</v>
      </c>
    </row>
    <row r="1147" spans="1:28" s="227" customFormat="1" ht="121.5">
      <c r="A1147" s="301" t="s">
        <v>776</v>
      </c>
      <c r="B1147" s="293" t="s">
        <v>1120</v>
      </c>
      <c r="C1147" s="294" t="s">
        <v>2324</v>
      </c>
      <c r="D1147" s="295" t="s">
        <v>16826</v>
      </c>
      <c r="E1147" s="293" t="s">
        <v>1095</v>
      </c>
      <c r="F1147" s="293" t="s">
        <v>776</v>
      </c>
      <c r="G1147" s="293" t="s">
        <v>15865</v>
      </c>
      <c r="H1147" s="296" t="s">
        <v>15855</v>
      </c>
      <c r="I1147" s="297" t="s">
        <v>1780</v>
      </c>
      <c r="J1147" s="297" t="s">
        <v>16738</v>
      </c>
      <c r="K1147" s="298" t="s">
        <v>15855</v>
      </c>
      <c r="L1147" s="298" t="s">
        <v>15855</v>
      </c>
      <c r="M1147" s="298" t="s">
        <v>15855</v>
      </c>
      <c r="N1147" s="298" t="s">
        <v>15855</v>
      </c>
      <c r="O1147" s="298" t="s">
        <v>15855</v>
      </c>
      <c r="P1147" s="299" t="s">
        <v>15857</v>
      </c>
      <c r="Q1147" s="300" t="s">
        <v>15855</v>
      </c>
      <c r="R1147" s="182" t="str">
        <f ca="1">IF(ISERROR($V1147),"",OFFSET('Smelter Look-up'!$C$4,$V1147-4,0)&amp;"")</f>
        <v>PT Timah Tbk Mentok</v>
      </c>
      <c r="S1147" s="181" t="str">
        <f t="shared" ref="S1147" ca="1" si="161">IF(B1147="","",IF(ISERROR(MATCH($E1147,CL,0)),"Unknown",INDIRECT("'C'!$A$"&amp;MATCH($E1147,CL,0)+1)))</f>
        <v>ID</v>
      </c>
      <c r="T1147" s="181" t="str">
        <f ca="1">IF(B1147="","",IF(ISERROR(MATCH($J1147,SorP!$B$1:$B$6226,0)),"",INDIRECT("'SorP'!$A$"&amp;MATCH($S1147&amp;$J1147,SorP!C:C,0))))</f>
        <v/>
      </c>
      <c r="U1147" s="201"/>
      <c r="V1147" s="226">
        <f>IF(C1147="",NA(),IF(OR(C1147="Smelter not listed",C1147="Smelter not yet identified"),MATCH($B1147&amp;$D1147,'Smelter Look-up'!$J:$J,0),MATCH($B1147&amp;$C1147,'Smelter Look-up'!$J:$J,0)))</f>
        <v>461</v>
      </c>
      <c r="X1147" s="227">
        <f t="shared" ref="X1147" si="162">IF(AND(C1147="Smelter not listed",OR(LEN(D1147)=0,LEN(E1147)=0)),1,0)</f>
        <v>0</v>
      </c>
      <c r="AB1147" s="228" t="str">
        <f t="shared" ref="AB1147" si="163">B1147&amp;C1147</f>
        <v>TinINDONESIAN STATE TIN CORPORATION MENTOK SMELTER</v>
      </c>
    </row>
    <row r="1148" spans="1:28" s="227" customFormat="1" ht="67.5">
      <c r="A1148" s="301" t="s">
        <v>776</v>
      </c>
      <c r="B1148" s="293" t="s">
        <v>1120</v>
      </c>
      <c r="C1148" s="294" t="s">
        <v>16826</v>
      </c>
      <c r="D1148" s="295" t="s">
        <v>16826</v>
      </c>
      <c r="E1148" s="293" t="s">
        <v>1095</v>
      </c>
      <c r="F1148" s="293" t="s">
        <v>776</v>
      </c>
      <c r="G1148" s="293" t="s">
        <v>15855</v>
      </c>
      <c r="H1148" s="296" t="s">
        <v>15855</v>
      </c>
      <c r="I1148" s="297" t="s">
        <v>15855</v>
      </c>
      <c r="J1148" s="297" t="s">
        <v>15855</v>
      </c>
      <c r="K1148" s="298" t="s">
        <v>15855</v>
      </c>
      <c r="L1148" s="298" t="s">
        <v>15855</v>
      </c>
      <c r="M1148" s="298" t="s">
        <v>15855</v>
      </c>
      <c r="N1148" s="298" t="s">
        <v>15855</v>
      </c>
      <c r="O1148" s="298" t="s">
        <v>15855</v>
      </c>
      <c r="P1148" s="299" t="s">
        <v>15857</v>
      </c>
      <c r="Q1148" s="300" t="s">
        <v>15855</v>
      </c>
      <c r="R1148" s="182" t="str">
        <f ca="1">IF(ISERROR($V1148),"",OFFSET('Smelter Look-up'!$C$4,$V1148-4,0)&amp;"")</f>
        <v/>
      </c>
      <c r="S1148" s="181" t="str">
        <f t="shared" ref="S1148:S1179" ca="1" si="164">IF(B1148="","",IF(ISERROR(MATCH($E1148,CL,0)),"Unknown",INDIRECT("'C'!$A$"&amp;MATCH($E1148,CL,0)+1)))</f>
        <v>ID</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si="165">IF(AND(C1148="Smelter not listed",OR(LEN(D1148)=0,LEN(E1148)=0)),1,0)</f>
        <v>0</v>
      </c>
      <c r="AB1148" s="228" t="str">
        <f t="shared" ref="AB1148:AB1179" si="166">B1148&amp;C1148</f>
        <v>TinPT Timah (Persero) Tbk Mentok</v>
      </c>
    </row>
    <row r="1149" spans="1:28" s="227" customFormat="1" ht="67.5">
      <c r="A1149" s="301" t="s">
        <v>776</v>
      </c>
      <c r="B1149" s="293" t="s">
        <v>1120</v>
      </c>
      <c r="C1149" s="294" t="s">
        <v>16826</v>
      </c>
      <c r="D1149" s="295" t="s">
        <v>16826</v>
      </c>
      <c r="E1149" s="293" t="s">
        <v>1095</v>
      </c>
      <c r="F1149" s="293" t="s">
        <v>776</v>
      </c>
      <c r="G1149" s="293" t="s">
        <v>15865</v>
      </c>
      <c r="H1149" s="296" t="s">
        <v>15855</v>
      </c>
      <c r="I1149" s="297" t="s">
        <v>1780</v>
      </c>
      <c r="J1149" s="297" t="s">
        <v>16827</v>
      </c>
      <c r="K1149" s="298" t="s">
        <v>15855</v>
      </c>
      <c r="L1149" s="298" t="s">
        <v>15855</v>
      </c>
      <c r="M1149" s="298" t="s">
        <v>15855</v>
      </c>
      <c r="N1149" s="298" t="s">
        <v>15855</v>
      </c>
      <c r="O1149" s="298" t="s">
        <v>15855</v>
      </c>
      <c r="P1149" s="299" t="s">
        <v>15857</v>
      </c>
      <c r="Q1149" s="300" t="s">
        <v>15855</v>
      </c>
      <c r="R1149" s="182" t="str">
        <f ca="1">IF(ISERROR($V1149),"",OFFSET('Smelter Look-up'!$C$4,$V1149-4,0)&amp;"")</f>
        <v/>
      </c>
      <c r="S1149" s="181" t="str">
        <f t="shared" ca="1" si="164"/>
        <v>ID</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si="165"/>
        <v>0</v>
      </c>
      <c r="AB1149" s="228" t="str">
        <f t="shared" si="166"/>
        <v>TinPT Timah (Persero) Tbk Mentok</v>
      </c>
    </row>
    <row r="1150" spans="1:28" s="227" customFormat="1" ht="67.5">
      <c r="A1150" s="301" t="s">
        <v>776</v>
      </c>
      <c r="B1150" s="293" t="s">
        <v>1120</v>
      </c>
      <c r="C1150" s="294" t="s">
        <v>16826</v>
      </c>
      <c r="D1150" s="295" t="s">
        <v>16826</v>
      </c>
      <c r="E1150" s="293" t="s">
        <v>1095</v>
      </c>
      <c r="F1150" s="293" t="s">
        <v>776</v>
      </c>
      <c r="G1150" s="293" t="s">
        <v>13217</v>
      </c>
      <c r="H1150" s="296" t="s">
        <v>15855</v>
      </c>
      <c r="I1150" s="297" t="s">
        <v>1780</v>
      </c>
      <c r="J1150" s="297" t="s">
        <v>16827</v>
      </c>
      <c r="K1150" s="298" t="s">
        <v>15855</v>
      </c>
      <c r="L1150" s="298" t="s">
        <v>15855</v>
      </c>
      <c r="M1150" s="298" t="s">
        <v>15855</v>
      </c>
      <c r="N1150" s="298" t="s">
        <v>15855</v>
      </c>
      <c r="O1150" s="298" t="s">
        <v>15855</v>
      </c>
      <c r="P1150" s="299" t="s">
        <v>15857</v>
      </c>
      <c r="Q1150" s="300" t="s">
        <v>15855</v>
      </c>
      <c r="R1150" s="182" t="str">
        <f ca="1">IF(ISERROR($V1150),"",OFFSET('Smelter Look-up'!$C$4,$V1150-4,0)&amp;"")</f>
        <v/>
      </c>
      <c r="S1150" s="181" t="str">
        <f t="shared" ca="1" si="164"/>
        <v>ID</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si="165"/>
        <v>0</v>
      </c>
      <c r="AB1150" s="228" t="str">
        <f t="shared" si="166"/>
        <v>TinPT Timah (Persero) Tbk Mentok</v>
      </c>
    </row>
    <row r="1151" spans="1:28" s="227" customFormat="1" ht="67.5">
      <c r="A1151" s="301" t="s">
        <v>776</v>
      </c>
      <c r="B1151" s="293" t="s">
        <v>1120</v>
      </c>
      <c r="C1151" s="294" t="s">
        <v>16826</v>
      </c>
      <c r="D1151" s="295" t="s">
        <v>16826</v>
      </c>
      <c r="E1151" s="293" t="s">
        <v>1095</v>
      </c>
      <c r="F1151" s="293" t="s">
        <v>776</v>
      </c>
      <c r="G1151" s="293" t="s">
        <v>13217</v>
      </c>
      <c r="H1151" s="296" t="s">
        <v>15855</v>
      </c>
      <c r="I1151" s="297" t="s">
        <v>1780</v>
      </c>
      <c r="J1151" s="297" t="s">
        <v>12830</v>
      </c>
      <c r="K1151" s="298" t="s">
        <v>15855</v>
      </c>
      <c r="L1151" s="298" t="s">
        <v>15855</v>
      </c>
      <c r="M1151" s="298" t="s">
        <v>15855</v>
      </c>
      <c r="N1151" s="298" t="s">
        <v>15855</v>
      </c>
      <c r="O1151" s="298" t="s">
        <v>15855</v>
      </c>
      <c r="P1151" s="299" t="s">
        <v>15857</v>
      </c>
      <c r="Q1151" s="300" t="s">
        <v>15855</v>
      </c>
      <c r="R1151" s="182" t="str">
        <f ca="1">IF(ISERROR($V1151),"",OFFSET('Smelter Look-up'!$C$4,$V1151-4,0)&amp;"")</f>
        <v/>
      </c>
      <c r="S1151" s="181" t="str">
        <f t="shared" ca="1" si="164"/>
        <v>ID</v>
      </c>
      <c r="T1151" s="181" t="str">
        <f ca="1">IF(B1151="","",IF(ISERROR(MATCH($J1151,SorP!$B$1:$B$6226,0)),"",INDIRECT("'SorP'!$A$"&amp;MATCH($S1151&amp;$J1151,SorP!C:C,0))))</f>
        <v>ID-BB</v>
      </c>
      <c r="U1151" s="201"/>
      <c r="V1151" s="226" t="e">
        <f>IF(C1151="",NA(),IF(OR(C1151="Smelter not listed",C1151="Smelter not yet identified"),MATCH($B1151&amp;$D1151,'Smelter Look-up'!$J:$J,0),MATCH($B1151&amp;$C1151,'Smelter Look-up'!$J:$J,0)))</f>
        <v>#N/A</v>
      </c>
      <c r="X1151" s="227">
        <f t="shared" si="165"/>
        <v>0</v>
      </c>
      <c r="AB1151" s="228" t="str">
        <f t="shared" si="166"/>
        <v>TinPT Timah (Persero) Tbk Mentok</v>
      </c>
    </row>
    <row r="1152" spans="1:28" s="227" customFormat="1" ht="67.5">
      <c r="A1152" s="301" t="s">
        <v>776</v>
      </c>
      <c r="B1152" s="293" t="s">
        <v>1120</v>
      </c>
      <c r="C1152" s="294" t="s">
        <v>16826</v>
      </c>
      <c r="D1152" s="295" t="s">
        <v>16826</v>
      </c>
      <c r="E1152" s="293" t="s">
        <v>1095</v>
      </c>
      <c r="F1152" s="293" t="s">
        <v>776</v>
      </c>
      <c r="G1152" s="293" t="s">
        <v>13217</v>
      </c>
      <c r="H1152" s="302" t="s">
        <v>15880</v>
      </c>
      <c r="I1152" s="297" t="s">
        <v>1780</v>
      </c>
      <c r="J1152" s="297" t="s">
        <v>12830</v>
      </c>
      <c r="K1152" s="298" t="s">
        <v>15855</v>
      </c>
      <c r="L1152" s="298" t="s">
        <v>15855</v>
      </c>
      <c r="M1152" s="298" t="s">
        <v>15855</v>
      </c>
      <c r="N1152" s="298" t="s">
        <v>15855</v>
      </c>
      <c r="O1152" s="298" t="s">
        <v>15855</v>
      </c>
      <c r="P1152" s="299" t="s">
        <v>15857</v>
      </c>
      <c r="Q1152" s="300" t="s">
        <v>15855</v>
      </c>
      <c r="R1152" s="182" t="str">
        <f ca="1">IF(ISERROR($V1152),"",OFFSET('Smelter Look-up'!$C$4,$V1152-4,0)&amp;"")</f>
        <v/>
      </c>
      <c r="S1152" s="181" t="str">
        <f t="shared" ca="1" si="164"/>
        <v>ID</v>
      </c>
      <c r="T1152" s="181" t="str">
        <f ca="1">IF(B1152="","",IF(ISERROR(MATCH($J1152,SorP!$B$1:$B$6226,0)),"",INDIRECT("'SorP'!$A$"&amp;MATCH($S1152&amp;$J1152,SorP!C:C,0))))</f>
        <v>ID-BB</v>
      </c>
      <c r="U1152" s="201"/>
      <c r="V1152" s="226" t="e">
        <f>IF(C1152="",NA(),IF(OR(C1152="Smelter not listed",C1152="Smelter not yet identified"),MATCH($B1152&amp;$D1152,'Smelter Look-up'!$J:$J,0),MATCH($B1152&amp;$C1152,'Smelter Look-up'!$J:$J,0)))</f>
        <v>#N/A</v>
      </c>
      <c r="X1152" s="227">
        <f t="shared" si="165"/>
        <v>0</v>
      </c>
      <c r="AB1152" s="228" t="str">
        <f t="shared" si="166"/>
        <v>TinPT Timah (Persero) Tbk Mentok</v>
      </c>
    </row>
    <row r="1153" spans="1:28" s="227" customFormat="1" ht="67.5">
      <c r="A1153" s="301" t="s">
        <v>776</v>
      </c>
      <c r="B1153" s="293" t="s">
        <v>1120</v>
      </c>
      <c r="C1153" s="294" t="s">
        <v>16826</v>
      </c>
      <c r="D1153" s="295" t="s">
        <v>16826</v>
      </c>
      <c r="E1153" s="293" t="s">
        <v>1095</v>
      </c>
      <c r="F1153" s="293" t="s">
        <v>776</v>
      </c>
      <c r="G1153" s="293" t="s">
        <v>13217</v>
      </c>
      <c r="H1153" s="302" t="s">
        <v>15880</v>
      </c>
      <c r="I1153" s="297" t="s">
        <v>1780</v>
      </c>
      <c r="J1153" s="297" t="s">
        <v>12830</v>
      </c>
      <c r="K1153" s="298" t="s">
        <v>16825</v>
      </c>
      <c r="L1153" s="298" t="s">
        <v>16211</v>
      </c>
      <c r="M1153" s="298" t="s">
        <v>16692</v>
      </c>
      <c r="N1153" s="298" t="s">
        <v>16693</v>
      </c>
      <c r="O1153" s="298" t="s">
        <v>16693</v>
      </c>
      <c r="P1153" s="299" t="s">
        <v>15857</v>
      </c>
      <c r="Q1153" s="300" t="s">
        <v>16569</v>
      </c>
      <c r="R1153" s="182" t="str">
        <f ca="1">IF(ISERROR($V1153),"",OFFSET('Smelter Look-up'!$C$4,$V1153-4,0)&amp;"")</f>
        <v/>
      </c>
      <c r="S1153" s="181" t="str">
        <f t="shared" ca="1" si="164"/>
        <v>ID</v>
      </c>
      <c r="T1153" s="181" t="str">
        <f ca="1">IF(B1153="","",IF(ISERROR(MATCH($J1153,SorP!$B$1:$B$6226,0)),"",INDIRECT("'SorP'!$A$"&amp;MATCH($S1153&amp;$J1153,SorP!C:C,0))))</f>
        <v>ID-BB</v>
      </c>
      <c r="U1153" s="201"/>
      <c r="V1153" s="226" t="e">
        <f>IF(C1153="",NA(),IF(OR(C1153="Smelter not listed",C1153="Smelter not yet identified"),MATCH($B1153&amp;$D1153,'Smelter Look-up'!$J:$J,0),MATCH($B1153&amp;$C1153,'Smelter Look-up'!$J:$J,0)))</f>
        <v>#N/A</v>
      </c>
      <c r="X1153" s="227">
        <f t="shared" si="165"/>
        <v>0</v>
      </c>
      <c r="AB1153" s="228" t="str">
        <f t="shared" si="166"/>
        <v>TinPT Timah (Persero) Tbk Mentok</v>
      </c>
    </row>
    <row r="1154" spans="1:28" s="227" customFormat="1" ht="54">
      <c r="A1154" s="301" t="s">
        <v>776</v>
      </c>
      <c r="B1154" s="293" t="s">
        <v>1120</v>
      </c>
      <c r="C1154" s="294" t="s">
        <v>16828</v>
      </c>
      <c r="D1154" s="295" t="s">
        <v>16826</v>
      </c>
      <c r="E1154" s="293" t="s">
        <v>1095</v>
      </c>
      <c r="F1154" s="293" t="s">
        <v>776</v>
      </c>
      <c r="G1154" s="293" t="s">
        <v>15865</v>
      </c>
      <c r="H1154" s="296" t="s">
        <v>15855</v>
      </c>
      <c r="I1154" s="297" t="s">
        <v>1780</v>
      </c>
      <c r="J1154" s="297" t="s">
        <v>16738</v>
      </c>
      <c r="K1154" s="298" t="s">
        <v>15855</v>
      </c>
      <c r="L1154" s="298" t="s">
        <v>15855</v>
      </c>
      <c r="M1154" s="298" t="s">
        <v>15855</v>
      </c>
      <c r="N1154" s="298" t="s">
        <v>15855</v>
      </c>
      <c r="O1154" s="298" t="s">
        <v>15855</v>
      </c>
      <c r="P1154" s="299" t="s">
        <v>15857</v>
      </c>
      <c r="Q1154" s="300" t="s">
        <v>15855</v>
      </c>
      <c r="R1154" s="182" t="str">
        <f ca="1">IF(ISERROR($V1154),"",OFFSET('Smelter Look-up'!$C$4,$V1154-4,0)&amp;"")</f>
        <v/>
      </c>
      <c r="S1154" s="181" t="str">
        <f t="shared" ca="1" si="164"/>
        <v>ID</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si="165"/>
        <v>0</v>
      </c>
      <c r="AB1154" s="228" t="str">
        <f t="shared" si="166"/>
        <v>TinPT Timah (Persero), Tbk</v>
      </c>
    </row>
    <row r="1155" spans="1:28" s="227" customFormat="1" ht="40.5">
      <c r="A1155" s="301" t="s">
        <v>794</v>
      </c>
      <c r="B1155" s="293" t="s">
        <v>1120</v>
      </c>
      <c r="C1155" s="294" t="s">
        <v>1022</v>
      </c>
      <c r="D1155" s="295" t="s">
        <v>13779</v>
      </c>
      <c r="E1155" s="293" t="s">
        <v>1095</v>
      </c>
      <c r="F1155" s="293" t="s">
        <v>794</v>
      </c>
      <c r="G1155" s="293" t="s">
        <v>15865</v>
      </c>
      <c r="H1155" s="296" t="s">
        <v>15855</v>
      </c>
      <c r="I1155" s="297" t="s">
        <v>1778</v>
      </c>
      <c r="J1155" s="297" t="s">
        <v>16824</v>
      </c>
      <c r="K1155" s="298" t="s">
        <v>15855</v>
      </c>
      <c r="L1155" s="298" t="s">
        <v>15855</v>
      </c>
      <c r="M1155" s="298" t="s">
        <v>15855</v>
      </c>
      <c r="N1155" s="298" t="s">
        <v>15855</v>
      </c>
      <c r="O1155" s="298" t="s">
        <v>15855</v>
      </c>
      <c r="P1155" s="299" t="s">
        <v>15857</v>
      </c>
      <c r="Q1155" s="300" t="s">
        <v>15855</v>
      </c>
      <c r="R1155" s="182" t="str">
        <f ca="1">IF(ISERROR($V1155),"",OFFSET('Smelter Look-up'!$C$4,$V1155-4,0)&amp;"")</f>
        <v>PT Timah Tbk Kundur</v>
      </c>
      <c r="S1155" s="181" t="str">
        <f t="shared" ca="1" si="164"/>
        <v>ID</v>
      </c>
      <c r="T1155" s="181" t="str">
        <f ca="1">IF(B1155="","",IF(ISERROR(MATCH($J1155,SorP!$B$1:$B$6226,0)),"",INDIRECT("'SorP'!$A$"&amp;MATCH($S1155&amp;$J1155,SorP!C:C,0))))</f>
        <v/>
      </c>
      <c r="U1155" s="201"/>
      <c r="V1155" s="226">
        <f>IF(C1155="",NA(),IF(OR(C1155="Smelter not listed",C1155="Smelter not yet identified"),MATCH($B1155&amp;$D1155,'Smelter Look-up'!$J:$J,0),MATCH($B1155&amp;$C1155,'Smelter Look-up'!$J:$J,0)))</f>
        <v>530</v>
      </c>
      <c r="X1155" s="227">
        <f t="shared" si="165"/>
        <v>0</v>
      </c>
      <c r="AB1155" s="228" t="str">
        <f t="shared" si="166"/>
        <v>TinPT Tambang Timah</v>
      </c>
    </row>
    <row r="1156" spans="1:28" s="227" customFormat="1" ht="54">
      <c r="A1156" s="301" t="s">
        <v>794</v>
      </c>
      <c r="B1156" s="293" t="s">
        <v>1120</v>
      </c>
      <c r="C1156" s="294" t="s">
        <v>13779</v>
      </c>
      <c r="D1156" s="295" t="s">
        <v>13779</v>
      </c>
      <c r="E1156" s="293" t="s">
        <v>1095</v>
      </c>
      <c r="F1156" s="293" t="s">
        <v>794</v>
      </c>
      <c r="G1156" s="293" t="s">
        <v>13217</v>
      </c>
      <c r="H1156" s="296" t="s">
        <v>15855</v>
      </c>
      <c r="I1156" s="297" t="s">
        <v>1778</v>
      </c>
      <c r="J1156" s="297" t="s">
        <v>6047</v>
      </c>
      <c r="K1156" s="298" t="s">
        <v>15855</v>
      </c>
      <c r="L1156" s="298" t="s">
        <v>15855</v>
      </c>
      <c r="M1156" s="298" t="s">
        <v>15855</v>
      </c>
      <c r="N1156" s="298" t="s">
        <v>15855</v>
      </c>
      <c r="O1156" s="298" t="s">
        <v>15855</v>
      </c>
      <c r="P1156" s="299" t="s">
        <v>15857</v>
      </c>
      <c r="Q1156" s="300" t="s">
        <v>15855</v>
      </c>
      <c r="R1156" s="182" t="str">
        <f ca="1">IF(ISERROR($V1156),"",OFFSET('Smelter Look-up'!$C$4,$V1156-4,0)&amp;"")</f>
        <v>PT Timah Tbk Kundur</v>
      </c>
      <c r="S1156" s="181" t="str">
        <f t="shared" ca="1" si="164"/>
        <v>ID</v>
      </c>
      <c r="T1156" s="181" t="str">
        <f ca="1">IF(B1156="","",IF(ISERROR(MATCH($J1156,SorP!$B$1:$B$6226,0)),"",INDIRECT("'SorP'!$A$"&amp;MATCH($S1156&amp;$J1156,SorP!C:C,0))))</f>
        <v>ID-RI</v>
      </c>
      <c r="U1156" s="201"/>
      <c r="V1156" s="226">
        <f>IF(C1156="",NA(),IF(OR(C1156="Smelter not listed",C1156="Smelter not yet identified"),MATCH($B1156&amp;$D1156,'Smelter Look-up'!$J:$J,0),MATCH($B1156&amp;$C1156,'Smelter Look-up'!$J:$J,0)))</f>
        <v>532</v>
      </c>
      <c r="X1156" s="227">
        <f t="shared" si="165"/>
        <v>0</v>
      </c>
      <c r="AB1156" s="228" t="str">
        <f t="shared" si="166"/>
        <v>TinPT Timah Tbk Kundur</v>
      </c>
    </row>
    <row r="1157" spans="1:28" s="227" customFormat="1" ht="54">
      <c r="A1157" s="301" t="s">
        <v>794</v>
      </c>
      <c r="B1157" s="293" t="s">
        <v>1120</v>
      </c>
      <c r="C1157" s="294" t="s">
        <v>13779</v>
      </c>
      <c r="D1157" s="295" t="s">
        <v>13779</v>
      </c>
      <c r="E1157" s="293" t="s">
        <v>1095</v>
      </c>
      <c r="F1157" s="293" t="s">
        <v>794</v>
      </c>
      <c r="G1157" s="293" t="s">
        <v>13217</v>
      </c>
      <c r="H1157" s="296" t="s">
        <v>15855</v>
      </c>
      <c r="I1157" s="297" t="s">
        <v>1778</v>
      </c>
      <c r="J1157" s="297" t="s">
        <v>6047</v>
      </c>
      <c r="K1157" s="298" t="s">
        <v>15855</v>
      </c>
      <c r="L1157" s="298" t="s">
        <v>15855</v>
      </c>
      <c r="M1157" s="298" t="s">
        <v>15855</v>
      </c>
      <c r="N1157" s="298" t="s">
        <v>15855</v>
      </c>
      <c r="O1157" s="298" t="s">
        <v>15855</v>
      </c>
      <c r="P1157" s="299" t="s">
        <v>15857</v>
      </c>
      <c r="Q1157" s="300" t="s">
        <v>16531</v>
      </c>
      <c r="R1157" s="182" t="str">
        <f ca="1">IF(ISERROR($V1157),"",OFFSET('Smelter Look-up'!$C$4,$V1157-4,0)&amp;"")</f>
        <v>PT Timah Tbk Kundur</v>
      </c>
      <c r="S1157" s="181" t="str">
        <f t="shared" ca="1" si="164"/>
        <v>ID</v>
      </c>
      <c r="T1157" s="181" t="str">
        <f ca="1">IF(B1157="","",IF(ISERROR(MATCH($J1157,SorP!$B$1:$B$6226,0)),"",INDIRECT("'SorP'!$A$"&amp;MATCH($S1157&amp;$J1157,SorP!C:C,0))))</f>
        <v>ID-RI</v>
      </c>
      <c r="U1157" s="201"/>
      <c r="V1157" s="226">
        <f>IF(C1157="",NA(),IF(OR(C1157="Smelter not listed",C1157="Smelter not yet identified"),MATCH($B1157&amp;$D1157,'Smelter Look-up'!$J:$J,0),MATCH($B1157&amp;$C1157,'Smelter Look-up'!$J:$J,0)))</f>
        <v>532</v>
      </c>
      <c r="X1157" s="227">
        <f t="shared" si="165"/>
        <v>0</v>
      </c>
      <c r="AB1157" s="228" t="str">
        <f t="shared" si="166"/>
        <v>TinPT Timah Tbk Kundur</v>
      </c>
    </row>
    <row r="1158" spans="1:28" s="227" customFormat="1" ht="54">
      <c r="A1158" s="301" t="s">
        <v>794</v>
      </c>
      <c r="B1158" s="293" t="s">
        <v>1120</v>
      </c>
      <c r="C1158" s="294" t="s">
        <v>13779</v>
      </c>
      <c r="D1158" s="295" t="s">
        <v>13779</v>
      </c>
      <c r="E1158" s="293" t="s">
        <v>1095</v>
      </c>
      <c r="F1158" s="293" t="s">
        <v>794</v>
      </c>
      <c r="G1158" s="293" t="s">
        <v>13217</v>
      </c>
      <c r="H1158" s="296" t="s">
        <v>15855</v>
      </c>
      <c r="I1158" s="297" t="s">
        <v>1778</v>
      </c>
      <c r="J1158" s="297" t="s">
        <v>6047</v>
      </c>
      <c r="K1158" s="298" t="s">
        <v>15855</v>
      </c>
      <c r="L1158" s="298" t="s">
        <v>15855</v>
      </c>
      <c r="M1158" s="298" t="s">
        <v>15855</v>
      </c>
      <c r="N1158" s="298" t="s">
        <v>15855</v>
      </c>
      <c r="O1158" s="298" t="s">
        <v>15855</v>
      </c>
      <c r="P1158" s="299" t="s">
        <v>15875</v>
      </c>
      <c r="Q1158" s="300" t="s">
        <v>15855</v>
      </c>
      <c r="R1158" s="182" t="str">
        <f ca="1">IF(ISERROR($V1158),"",OFFSET('Smelter Look-up'!$C$4,$V1158-4,0)&amp;"")</f>
        <v>PT Timah Tbk Kundur</v>
      </c>
      <c r="S1158" s="181" t="str">
        <f t="shared" ca="1" si="164"/>
        <v>ID</v>
      </c>
      <c r="T1158" s="181" t="str">
        <f ca="1">IF(B1158="","",IF(ISERROR(MATCH($J1158,SorP!$B$1:$B$6226,0)),"",INDIRECT("'SorP'!$A$"&amp;MATCH($S1158&amp;$J1158,SorP!C:C,0))))</f>
        <v>ID-RI</v>
      </c>
      <c r="U1158" s="201"/>
      <c r="V1158" s="226">
        <f>IF(C1158="",NA(),IF(OR(C1158="Smelter not listed",C1158="Smelter not yet identified"),MATCH($B1158&amp;$D1158,'Smelter Look-up'!$J:$J,0),MATCH($B1158&amp;$C1158,'Smelter Look-up'!$J:$J,0)))</f>
        <v>532</v>
      </c>
      <c r="X1158" s="227">
        <f t="shared" si="165"/>
        <v>0</v>
      </c>
      <c r="AB1158" s="228" t="str">
        <f t="shared" si="166"/>
        <v>TinPT Timah Tbk Kundur</v>
      </c>
    </row>
    <row r="1159" spans="1:28" s="227" customFormat="1" ht="54">
      <c r="A1159" s="301" t="s">
        <v>794</v>
      </c>
      <c r="B1159" s="293" t="s">
        <v>1120</v>
      </c>
      <c r="C1159" s="294" t="s">
        <v>13779</v>
      </c>
      <c r="D1159" s="295" t="s">
        <v>13779</v>
      </c>
      <c r="E1159" s="293" t="s">
        <v>1095</v>
      </c>
      <c r="F1159" s="293" t="s">
        <v>794</v>
      </c>
      <c r="G1159" s="293" t="s">
        <v>13217</v>
      </c>
      <c r="H1159" s="296" t="s">
        <v>15855</v>
      </c>
      <c r="I1159" s="297" t="s">
        <v>1778</v>
      </c>
      <c r="J1159" s="297" t="s">
        <v>6047</v>
      </c>
      <c r="K1159" s="298" t="s">
        <v>15855</v>
      </c>
      <c r="L1159" s="298" t="s">
        <v>15855</v>
      </c>
      <c r="M1159" s="298" t="s">
        <v>15855</v>
      </c>
      <c r="N1159" s="298" t="s">
        <v>15855</v>
      </c>
      <c r="O1159" s="298" t="s">
        <v>16829</v>
      </c>
      <c r="P1159" s="299" t="s">
        <v>15857</v>
      </c>
      <c r="Q1159" s="300" t="s">
        <v>15855</v>
      </c>
      <c r="R1159" s="182" t="str">
        <f ca="1">IF(ISERROR($V1159),"",OFFSET('Smelter Look-up'!$C$4,$V1159-4,0)&amp;"")</f>
        <v>PT Timah Tbk Kundur</v>
      </c>
      <c r="S1159" s="181" t="str">
        <f t="shared" ca="1" si="164"/>
        <v>ID</v>
      </c>
      <c r="T1159" s="181" t="str">
        <f ca="1">IF(B1159="","",IF(ISERROR(MATCH($J1159,SorP!$B$1:$B$6226,0)),"",INDIRECT("'SorP'!$A$"&amp;MATCH($S1159&amp;$J1159,SorP!C:C,0))))</f>
        <v>ID-RI</v>
      </c>
      <c r="U1159" s="201"/>
      <c r="V1159" s="226">
        <f>IF(C1159="",NA(),IF(OR(C1159="Smelter not listed",C1159="Smelter not yet identified"),MATCH($B1159&amp;$D1159,'Smelter Look-up'!$J:$J,0),MATCH($B1159&amp;$C1159,'Smelter Look-up'!$J:$J,0)))</f>
        <v>532</v>
      </c>
      <c r="X1159" s="227">
        <f t="shared" si="165"/>
        <v>0</v>
      </c>
      <c r="AB1159" s="228" t="str">
        <f t="shared" si="166"/>
        <v>TinPT Timah Tbk Kundur</v>
      </c>
    </row>
    <row r="1160" spans="1:28" s="227" customFormat="1" ht="54">
      <c r="A1160" s="301" t="s">
        <v>794</v>
      </c>
      <c r="B1160" s="293" t="s">
        <v>1120</v>
      </c>
      <c r="C1160" s="294" t="s">
        <v>13779</v>
      </c>
      <c r="D1160" s="295" t="s">
        <v>13779</v>
      </c>
      <c r="E1160" s="293" t="s">
        <v>1095</v>
      </c>
      <c r="F1160" s="293" t="s">
        <v>794</v>
      </c>
      <c r="G1160" s="293" t="s">
        <v>13217</v>
      </c>
      <c r="H1160" s="296" t="s">
        <v>15855</v>
      </c>
      <c r="I1160" s="297" t="s">
        <v>1778</v>
      </c>
      <c r="J1160" s="297" t="s">
        <v>6047</v>
      </c>
      <c r="K1160" s="298" t="s">
        <v>16830</v>
      </c>
      <c r="L1160" s="298" t="s">
        <v>16831</v>
      </c>
      <c r="M1160" s="298" t="s">
        <v>15855</v>
      </c>
      <c r="N1160" s="298" t="s">
        <v>16832</v>
      </c>
      <c r="O1160" s="298" t="s">
        <v>16833</v>
      </c>
      <c r="P1160" s="299" t="s">
        <v>15857</v>
      </c>
      <c r="Q1160" s="300" t="s">
        <v>15855</v>
      </c>
      <c r="R1160" s="182" t="str">
        <f ca="1">IF(ISERROR($V1160),"",OFFSET('Smelter Look-up'!$C$4,$V1160-4,0)&amp;"")</f>
        <v>PT Timah Tbk Kundur</v>
      </c>
      <c r="S1160" s="181" t="str">
        <f t="shared" ca="1" si="164"/>
        <v>ID</v>
      </c>
      <c r="T1160" s="181" t="str">
        <f ca="1">IF(B1160="","",IF(ISERROR(MATCH($J1160,SorP!$B$1:$B$6226,0)),"",INDIRECT("'SorP'!$A$"&amp;MATCH($S1160&amp;$J1160,SorP!C:C,0))))</f>
        <v>ID-RI</v>
      </c>
      <c r="U1160" s="201"/>
      <c r="V1160" s="226">
        <f>IF(C1160="",NA(),IF(OR(C1160="Smelter not listed",C1160="Smelter not yet identified"),MATCH($B1160&amp;$D1160,'Smelter Look-up'!$J:$J,0),MATCH($B1160&amp;$C1160,'Smelter Look-up'!$J:$J,0)))</f>
        <v>532</v>
      </c>
      <c r="X1160" s="227">
        <f t="shared" si="165"/>
        <v>0</v>
      </c>
      <c r="AB1160" s="228" t="str">
        <f t="shared" si="166"/>
        <v>TinPT Timah Tbk Kundur</v>
      </c>
    </row>
    <row r="1161" spans="1:28" s="227" customFormat="1" ht="54">
      <c r="A1161" s="301" t="s">
        <v>794</v>
      </c>
      <c r="B1161" s="293" t="s">
        <v>1120</v>
      </c>
      <c r="C1161" s="294" t="s">
        <v>13779</v>
      </c>
      <c r="D1161" s="295" t="s">
        <v>13779</v>
      </c>
      <c r="E1161" s="293" t="s">
        <v>1095</v>
      </c>
      <c r="F1161" s="293" t="s">
        <v>794</v>
      </c>
      <c r="G1161" s="293" t="s">
        <v>13217</v>
      </c>
      <c r="H1161" s="296" t="s">
        <v>15855</v>
      </c>
      <c r="I1161" s="297" t="s">
        <v>1778</v>
      </c>
      <c r="J1161" s="297" t="s">
        <v>6047</v>
      </c>
      <c r="K1161" s="298" t="s">
        <v>16834</v>
      </c>
      <c r="L1161" s="298" t="s">
        <v>16835</v>
      </c>
      <c r="M1161" s="298" t="s">
        <v>15869</v>
      </c>
      <c r="N1161" s="298" t="s">
        <v>16836</v>
      </c>
      <c r="O1161" s="298" t="s">
        <v>16799</v>
      </c>
      <c r="P1161" s="299" t="s">
        <v>15857</v>
      </c>
      <c r="Q1161" s="300" t="s">
        <v>15855</v>
      </c>
      <c r="R1161" s="182" t="str">
        <f ca="1">IF(ISERROR($V1161),"",OFFSET('Smelter Look-up'!$C$4,$V1161-4,0)&amp;"")</f>
        <v>PT Timah Tbk Kundur</v>
      </c>
      <c r="S1161" s="181" t="str">
        <f t="shared" ca="1" si="164"/>
        <v>ID</v>
      </c>
      <c r="T1161" s="181" t="str">
        <f ca="1">IF(B1161="","",IF(ISERROR(MATCH($J1161,SorP!$B$1:$B$6226,0)),"",INDIRECT("'SorP'!$A$"&amp;MATCH($S1161&amp;$J1161,SorP!C:C,0))))</f>
        <v>ID-RI</v>
      </c>
      <c r="U1161" s="201"/>
      <c r="V1161" s="226">
        <f>IF(C1161="",NA(),IF(OR(C1161="Smelter not listed",C1161="Smelter not yet identified"),MATCH($B1161&amp;$D1161,'Smelter Look-up'!$J:$J,0),MATCH($B1161&amp;$C1161,'Smelter Look-up'!$J:$J,0)))</f>
        <v>532</v>
      </c>
      <c r="X1161" s="227">
        <f t="shared" si="165"/>
        <v>0</v>
      </c>
      <c r="AB1161" s="228" t="str">
        <f t="shared" si="166"/>
        <v>TinPT Timah Tbk Kundur</v>
      </c>
    </row>
    <row r="1162" spans="1:28" s="227" customFormat="1" ht="54">
      <c r="A1162" s="301" t="s">
        <v>794</v>
      </c>
      <c r="B1162" s="293" t="s">
        <v>1120</v>
      </c>
      <c r="C1162" s="294" t="s">
        <v>13779</v>
      </c>
      <c r="D1162" s="295" t="s">
        <v>13779</v>
      </c>
      <c r="E1162" s="293" t="s">
        <v>1095</v>
      </c>
      <c r="F1162" s="293" t="s">
        <v>794</v>
      </c>
      <c r="G1162" s="293" t="s">
        <v>13217</v>
      </c>
      <c r="H1162" s="302" t="s">
        <v>15880</v>
      </c>
      <c r="I1162" s="297" t="s">
        <v>1778</v>
      </c>
      <c r="J1162" s="297" t="s">
        <v>6047</v>
      </c>
      <c r="K1162" s="298" t="s">
        <v>15855</v>
      </c>
      <c r="L1162" s="298" t="s">
        <v>15855</v>
      </c>
      <c r="M1162" s="298" t="s">
        <v>15855</v>
      </c>
      <c r="N1162" s="298" t="s">
        <v>15855</v>
      </c>
      <c r="O1162" s="298" t="s">
        <v>15855</v>
      </c>
      <c r="P1162" s="299" t="s">
        <v>15857</v>
      </c>
      <c r="Q1162" s="300" t="s">
        <v>15855</v>
      </c>
      <c r="R1162" s="182" t="str">
        <f ca="1">IF(ISERROR($V1162),"",OFFSET('Smelter Look-up'!$C$4,$V1162-4,0)&amp;"")</f>
        <v>PT Timah Tbk Kundur</v>
      </c>
      <c r="S1162" s="181" t="str">
        <f t="shared" ca="1" si="164"/>
        <v>ID</v>
      </c>
      <c r="T1162" s="181" t="str">
        <f ca="1">IF(B1162="","",IF(ISERROR(MATCH($J1162,SorP!$B$1:$B$6226,0)),"",INDIRECT("'SorP'!$A$"&amp;MATCH($S1162&amp;$J1162,SorP!C:C,0))))</f>
        <v>ID-RI</v>
      </c>
      <c r="U1162" s="201"/>
      <c r="V1162" s="226">
        <f>IF(C1162="",NA(),IF(OR(C1162="Smelter not listed",C1162="Smelter not yet identified"),MATCH($B1162&amp;$D1162,'Smelter Look-up'!$J:$J,0),MATCH($B1162&amp;$C1162,'Smelter Look-up'!$J:$J,0)))</f>
        <v>532</v>
      </c>
      <c r="X1162" s="227">
        <f t="shared" si="165"/>
        <v>0</v>
      </c>
      <c r="AB1162" s="228" t="str">
        <f t="shared" si="166"/>
        <v>TinPT Timah Tbk Kundur</v>
      </c>
    </row>
    <row r="1163" spans="1:28" s="227" customFormat="1" ht="54">
      <c r="A1163" s="301" t="s">
        <v>794</v>
      </c>
      <c r="B1163" s="293" t="s">
        <v>1120</v>
      </c>
      <c r="C1163" s="294" t="s">
        <v>13779</v>
      </c>
      <c r="D1163" s="295" t="s">
        <v>13779</v>
      </c>
      <c r="E1163" s="293" t="s">
        <v>1095</v>
      </c>
      <c r="F1163" s="293" t="s">
        <v>794</v>
      </c>
      <c r="G1163" s="293" t="s">
        <v>13217</v>
      </c>
      <c r="H1163" s="302" t="s">
        <v>15880</v>
      </c>
      <c r="I1163" s="297" t="s">
        <v>1778</v>
      </c>
      <c r="J1163" s="297" t="s">
        <v>6047</v>
      </c>
      <c r="K1163" s="298" t="s">
        <v>16825</v>
      </c>
      <c r="L1163" s="298" t="s">
        <v>16211</v>
      </c>
      <c r="M1163" s="298" t="s">
        <v>16345</v>
      </c>
      <c r="N1163" s="298" t="s">
        <v>16540</v>
      </c>
      <c r="O1163" s="298" t="s">
        <v>16540</v>
      </c>
      <c r="P1163" s="299" t="s">
        <v>15857</v>
      </c>
      <c r="Q1163" s="300" t="s">
        <v>16569</v>
      </c>
      <c r="R1163" s="182" t="str">
        <f ca="1">IF(ISERROR($V1163),"",OFFSET('Smelter Look-up'!$C$4,$V1163-4,0)&amp;"")</f>
        <v>PT Timah Tbk Kundur</v>
      </c>
      <c r="S1163" s="181" t="str">
        <f t="shared" ca="1" si="164"/>
        <v>ID</v>
      </c>
      <c r="T1163" s="181" t="str">
        <f ca="1">IF(B1163="","",IF(ISERROR(MATCH($J1163,SorP!$B$1:$B$6226,0)),"",INDIRECT("'SorP'!$A$"&amp;MATCH($S1163&amp;$J1163,SorP!C:C,0))))</f>
        <v>ID-RI</v>
      </c>
      <c r="U1163" s="201"/>
      <c r="V1163" s="226">
        <f>IF(C1163="",NA(),IF(OR(C1163="Smelter not listed",C1163="Smelter not yet identified"),MATCH($B1163&amp;$D1163,'Smelter Look-up'!$J:$J,0),MATCH($B1163&amp;$C1163,'Smelter Look-up'!$J:$J,0)))</f>
        <v>532</v>
      </c>
      <c r="X1163" s="227">
        <f t="shared" si="165"/>
        <v>0</v>
      </c>
      <c r="AB1163" s="228" t="str">
        <f t="shared" si="166"/>
        <v>TinPT Timah Tbk Kundur</v>
      </c>
    </row>
    <row r="1164" spans="1:28" s="227" customFormat="1" ht="54">
      <c r="A1164" s="301" t="s">
        <v>794</v>
      </c>
      <c r="B1164" s="293" t="s">
        <v>1120</v>
      </c>
      <c r="C1164" s="294" t="s">
        <v>13779</v>
      </c>
      <c r="D1164" s="295" t="s">
        <v>13779</v>
      </c>
      <c r="E1164" s="293" t="s">
        <v>1095</v>
      </c>
      <c r="F1164" s="293" t="s">
        <v>794</v>
      </c>
      <c r="G1164" s="293" t="s">
        <v>13217</v>
      </c>
      <c r="H1164" s="296" t="s">
        <v>16837</v>
      </c>
      <c r="I1164" s="297" t="s">
        <v>1778</v>
      </c>
      <c r="J1164" s="297" t="s">
        <v>6047</v>
      </c>
      <c r="K1164" s="298" t="s">
        <v>16838</v>
      </c>
      <c r="L1164" s="298" t="s">
        <v>16839</v>
      </c>
      <c r="M1164" s="298" t="s">
        <v>15855</v>
      </c>
      <c r="N1164" s="298" t="s">
        <v>16840</v>
      </c>
      <c r="O1164" s="298" t="s">
        <v>16735</v>
      </c>
      <c r="P1164" s="299" t="s">
        <v>15857</v>
      </c>
      <c r="Q1164" s="300" t="s">
        <v>16611</v>
      </c>
      <c r="R1164" s="182" t="str">
        <f ca="1">IF(ISERROR($V1164),"",OFFSET('Smelter Look-up'!$C$4,$V1164-4,0)&amp;"")</f>
        <v>PT Timah Tbk Kundur</v>
      </c>
      <c r="S1164" s="181" t="str">
        <f t="shared" ca="1" si="164"/>
        <v>ID</v>
      </c>
      <c r="T1164" s="181" t="str">
        <f ca="1">IF(B1164="","",IF(ISERROR(MATCH($J1164,SorP!$B$1:$B$6226,0)),"",INDIRECT("'SorP'!$A$"&amp;MATCH($S1164&amp;$J1164,SorP!C:C,0))))</f>
        <v>ID-RI</v>
      </c>
      <c r="U1164" s="201"/>
      <c r="V1164" s="226">
        <f>IF(C1164="",NA(),IF(OR(C1164="Smelter not listed",C1164="Smelter not yet identified"),MATCH($B1164&amp;$D1164,'Smelter Look-up'!$J:$J,0),MATCH($B1164&amp;$C1164,'Smelter Look-up'!$J:$J,0)))</f>
        <v>532</v>
      </c>
      <c r="X1164" s="227">
        <f t="shared" si="165"/>
        <v>0</v>
      </c>
      <c r="AB1164" s="228" t="str">
        <f t="shared" si="166"/>
        <v>TinPT Timah Tbk Kundur</v>
      </c>
    </row>
    <row r="1165" spans="1:28" s="227" customFormat="1" ht="54">
      <c r="A1165" s="301" t="s">
        <v>794</v>
      </c>
      <c r="B1165" s="293" t="s">
        <v>1120</v>
      </c>
      <c r="C1165" s="294" t="s">
        <v>13779</v>
      </c>
      <c r="D1165" s="295" t="s">
        <v>13779</v>
      </c>
      <c r="E1165" s="293" t="s">
        <v>1095</v>
      </c>
      <c r="F1165" s="293" t="s">
        <v>794</v>
      </c>
      <c r="G1165" s="293" t="s">
        <v>13217</v>
      </c>
      <c r="H1165" s="296" t="s">
        <v>16841</v>
      </c>
      <c r="I1165" s="297" t="s">
        <v>1778</v>
      </c>
      <c r="J1165" s="297" t="s">
        <v>6047</v>
      </c>
      <c r="K1165" s="298" t="s">
        <v>16842</v>
      </c>
      <c r="L1165" s="298" t="s">
        <v>16843</v>
      </c>
      <c r="M1165" s="298" t="s">
        <v>15855</v>
      </c>
      <c r="N1165" s="298" t="s">
        <v>16844</v>
      </c>
      <c r="O1165" s="298" t="s">
        <v>16735</v>
      </c>
      <c r="P1165" s="299" t="s">
        <v>15857</v>
      </c>
      <c r="Q1165" s="300" t="s">
        <v>15855</v>
      </c>
      <c r="R1165" s="182" t="str">
        <f ca="1">IF(ISERROR($V1165),"",OFFSET('Smelter Look-up'!$C$4,$V1165-4,0)&amp;"")</f>
        <v>PT Timah Tbk Kundur</v>
      </c>
      <c r="S1165" s="181" t="str">
        <f t="shared" ca="1" si="164"/>
        <v>ID</v>
      </c>
      <c r="T1165" s="181" t="str">
        <f ca="1">IF(B1165="","",IF(ISERROR(MATCH($J1165,SorP!$B$1:$B$6226,0)),"",INDIRECT("'SorP'!$A$"&amp;MATCH($S1165&amp;$J1165,SorP!C:C,0))))</f>
        <v>ID-RI</v>
      </c>
      <c r="U1165" s="201"/>
      <c r="V1165" s="226">
        <f>IF(C1165="",NA(),IF(OR(C1165="Smelter not listed",C1165="Smelter not yet identified"),MATCH($B1165&amp;$D1165,'Smelter Look-up'!$J:$J,0),MATCH($B1165&amp;$C1165,'Smelter Look-up'!$J:$J,0)))</f>
        <v>532</v>
      </c>
      <c r="X1165" s="227">
        <f t="shared" si="165"/>
        <v>0</v>
      </c>
      <c r="AB1165" s="228" t="str">
        <f t="shared" si="166"/>
        <v>TinPT Timah Tbk Kundur</v>
      </c>
    </row>
    <row r="1166" spans="1:28" s="227" customFormat="1" ht="54">
      <c r="A1166" s="301" t="s">
        <v>794</v>
      </c>
      <c r="B1166" s="293" t="s">
        <v>1120</v>
      </c>
      <c r="C1166" s="294" t="s">
        <v>13779</v>
      </c>
      <c r="D1166" s="295" t="s">
        <v>13779</v>
      </c>
      <c r="E1166" s="293" t="s">
        <v>1095</v>
      </c>
      <c r="F1166" s="293" t="s">
        <v>794</v>
      </c>
      <c r="G1166" s="293" t="s">
        <v>13217</v>
      </c>
      <c r="H1166" s="296" t="s">
        <v>16841</v>
      </c>
      <c r="I1166" s="297" t="s">
        <v>1778</v>
      </c>
      <c r="J1166" s="297" t="s">
        <v>6047</v>
      </c>
      <c r="K1166" s="298" t="s">
        <v>16842</v>
      </c>
      <c r="L1166" s="298" t="s">
        <v>16843</v>
      </c>
      <c r="M1166" s="298" t="s">
        <v>15855</v>
      </c>
      <c r="N1166" s="298" t="s">
        <v>16844</v>
      </c>
      <c r="O1166" s="298" t="s">
        <v>16735</v>
      </c>
      <c r="P1166" s="299" t="s">
        <v>15857</v>
      </c>
      <c r="Q1166" s="300" t="s">
        <v>16611</v>
      </c>
      <c r="R1166" s="182" t="str">
        <f ca="1">IF(ISERROR($V1166),"",OFFSET('Smelter Look-up'!$C$4,$V1166-4,0)&amp;"")</f>
        <v>PT Timah Tbk Kundur</v>
      </c>
      <c r="S1166" s="181" t="str">
        <f t="shared" ca="1" si="164"/>
        <v>ID</v>
      </c>
      <c r="T1166" s="181" t="str">
        <f ca="1">IF(B1166="","",IF(ISERROR(MATCH($J1166,SorP!$B$1:$B$6226,0)),"",INDIRECT("'SorP'!$A$"&amp;MATCH($S1166&amp;$J1166,SorP!C:C,0))))</f>
        <v>ID-RI</v>
      </c>
      <c r="U1166" s="201"/>
      <c r="V1166" s="226">
        <f>IF(C1166="",NA(),IF(OR(C1166="Smelter not listed",C1166="Smelter not yet identified"),MATCH($B1166&amp;$D1166,'Smelter Look-up'!$J:$J,0),MATCH($B1166&amp;$C1166,'Smelter Look-up'!$J:$J,0)))</f>
        <v>532</v>
      </c>
      <c r="X1166" s="227">
        <f t="shared" si="165"/>
        <v>0</v>
      </c>
      <c r="AB1166" s="228" t="str">
        <f t="shared" si="166"/>
        <v>TinPT Timah Tbk Kundur</v>
      </c>
    </row>
    <row r="1167" spans="1:28" s="227" customFormat="1" ht="54">
      <c r="A1167" s="301" t="s">
        <v>794</v>
      </c>
      <c r="B1167" s="293" t="s">
        <v>1120</v>
      </c>
      <c r="C1167" s="294" t="s">
        <v>13779</v>
      </c>
      <c r="D1167" s="295" t="s">
        <v>13779</v>
      </c>
      <c r="E1167" s="293" t="s">
        <v>1095</v>
      </c>
      <c r="F1167" s="293" t="s">
        <v>794</v>
      </c>
      <c r="G1167" s="293" t="s">
        <v>13217</v>
      </c>
      <c r="H1167" s="296" t="s">
        <v>16841</v>
      </c>
      <c r="I1167" s="297" t="s">
        <v>1778</v>
      </c>
      <c r="J1167" s="297" t="s">
        <v>6047</v>
      </c>
      <c r="K1167" s="298" t="s">
        <v>16842</v>
      </c>
      <c r="L1167" s="298" t="s">
        <v>16843</v>
      </c>
      <c r="M1167" s="298" t="s">
        <v>16345</v>
      </c>
      <c r="N1167" s="298" t="s">
        <v>16540</v>
      </c>
      <c r="O1167" s="298" t="s">
        <v>16540</v>
      </c>
      <c r="P1167" s="299" t="s">
        <v>15857</v>
      </c>
      <c r="Q1167" s="300" t="s">
        <v>15855</v>
      </c>
      <c r="R1167" s="182" t="str">
        <f ca="1">IF(ISERROR($V1167),"",OFFSET('Smelter Look-up'!$C$4,$V1167-4,0)&amp;"")</f>
        <v>PT Timah Tbk Kundur</v>
      </c>
      <c r="S1167" s="181" t="str">
        <f t="shared" ca="1" si="164"/>
        <v>ID</v>
      </c>
      <c r="T1167" s="181" t="str">
        <f ca="1">IF(B1167="","",IF(ISERROR(MATCH($J1167,SorP!$B$1:$B$6226,0)),"",INDIRECT("'SorP'!$A$"&amp;MATCH($S1167&amp;$J1167,SorP!C:C,0))))</f>
        <v>ID-RI</v>
      </c>
      <c r="U1167" s="201"/>
      <c r="V1167" s="226">
        <f>IF(C1167="",NA(),IF(OR(C1167="Smelter not listed",C1167="Smelter not yet identified"),MATCH($B1167&amp;$D1167,'Smelter Look-up'!$J:$J,0),MATCH($B1167&amp;$C1167,'Smelter Look-up'!$J:$J,0)))</f>
        <v>532</v>
      </c>
      <c r="X1167" s="227">
        <f t="shared" si="165"/>
        <v>0</v>
      </c>
      <c r="AB1167" s="228" t="str">
        <f t="shared" si="166"/>
        <v>TinPT Timah Tbk Kundur</v>
      </c>
    </row>
    <row r="1168" spans="1:28" s="227" customFormat="1" ht="54">
      <c r="A1168" s="301" t="s">
        <v>794</v>
      </c>
      <c r="B1168" s="293" t="s">
        <v>1120</v>
      </c>
      <c r="C1168" s="294" t="s">
        <v>13779</v>
      </c>
      <c r="D1168" s="295" t="s">
        <v>13779</v>
      </c>
      <c r="E1168" s="293" t="s">
        <v>1095</v>
      </c>
      <c r="F1168" s="293" t="s">
        <v>794</v>
      </c>
      <c r="G1168" s="293" t="s">
        <v>13217</v>
      </c>
      <c r="H1168" s="296" t="s">
        <v>16845</v>
      </c>
      <c r="I1168" s="297" t="s">
        <v>1778</v>
      </c>
      <c r="J1168" s="297" t="s">
        <v>6047</v>
      </c>
      <c r="K1168" s="298" t="s">
        <v>16846</v>
      </c>
      <c r="L1168" s="298" t="s">
        <v>16847</v>
      </c>
      <c r="M1168" s="298" t="s">
        <v>16562</v>
      </c>
      <c r="N1168" s="298" t="s">
        <v>16848</v>
      </c>
      <c r="O1168" s="298" t="s">
        <v>16735</v>
      </c>
      <c r="P1168" s="299" t="s">
        <v>15857</v>
      </c>
      <c r="Q1168" s="300" t="s">
        <v>16849</v>
      </c>
      <c r="R1168" s="182" t="str">
        <f ca="1">IF(ISERROR($V1168),"",OFFSET('Smelter Look-up'!$C$4,$V1168-4,0)&amp;"")</f>
        <v>PT Timah Tbk Kundur</v>
      </c>
      <c r="S1168" s="181" t="str">
        <f t="shared" ca="1" si="164"/>
        <v>ID</v>
      </c>
      <c r="T1168" s="181" t="str">
        <f ca="1">IF(B1168="","",IF(ISERROR(MATCH($J1168,SorP!$B$1:$B$6226,0)),"",INDIRECT("'SorP'!$A$"&amp;MATCH($S1168&amp;$J1168,SorP!C:C,0))))</f>
        <v>ID-RI</v>
      </c>
      <c r="U1168" s="201"/>
      <c r="V1168" s="226">
        <f>IF(C1168="",NA(),IF(OR(C1168="Smelter not listed",C1168="Smelter not yet identified"),MATCH($B1168&amp;$D1168,'Smelter Look-up'!$J:$J,0),MATCH($B1168&amp;$C1168,'Smelter Look-up'!$J:$J,0)))</f>
        <v>532</v>
      </c>
      <c r="X1168" s="227">
        <f t="shared" si="165"/>
        <v>0</v>
      </c>
      <c r="AB1168" s="228" t="str">
        <f t="shared" si="166"/>
        <v>TinPT Timah Tbk Kundur</v>
      </c>
    </row>
    <row r="1169" spans="1:28" s="227" customFormat="1" ht="40.5">
      <c r="A1169" s="301" t="s">
        <v>776</v>
      </c>
      <c r="B1169" s="293" t="s">
        <v>1120</v>
      </c>
      <c r="C1169" s="294" t="s">
        <v>2216</v>
      </c>
      <c r="D1169" s="295" t="s">
        <v>13778</v>
      </c>
      <c r="E1169" s="293" t="s">
        <v>1095</v>
      </c>
      <c r="F1169" s="293" t="s">
        <v>776</v>
      </c>
      <c r="G1169" s="293" t="s">
        <v>15865</v>
      </c>
      <c r="H1169" s="296" t="s">
        <v>15855</v>
      </c>
      <c r="I1169" s="297" t="s">
        <v>1780</v>
      </c>
      <c r="J1169" s="297" t="s">
        <v>16738</v>
      </c>
      <c r="K1169" s="298" t="s">
        <v>15855</v>
      </c>
      <c r="L1169" s="298" t="s">
        <v>15855</v>
      </c>
      <c r="M1169" s="298" t="s">
        <v>15855</v>
      </c>
      <c r="N1169" s="298" t="s">
        <v>15855</v>
      </c>
      <c r="O1169" s="298" t="s">
        <v>15855</v>
      </c>
      <c r="P1169" s="299" t="s">
        <v>15857</v>
      </c>
      <c r="Q1169" s="300" t="s">
        <v>15855</v>
      </c>
      <c r="R1169" s="182" t="str">
        <f ca="1">IF(ISERROR($V1169),"",OFFSET('Smelter Look-up'!$C$4,$V1169-4,0)&amp;"")</f>
        <v>PT Timah Tbk Mentok</v>
      </c>
      <c r="S1169" s="181" t="str">
        <f t="shared" ca="1" si="164"/>
        <v>ID</v>
      </c>
      <c r="T1169" s="181" t="str">
        <f ca="1">IF(B1169="","",IF(ISERROR(MATCH($J1169,SorP!$B$1:$B$6226,0)),"",INDIRECT("'SorP'!$A$"&amp;MATCH($S1169&amp;$J1169,SorP!C:C,0))))</f>
        <v/>
      </c>
      <c r="U1169" s="201"/>
      <c r="V1169" s="226">
        <f>IF(C1169="",NA(),IF(OR(C1169="Smelter not listed",C1169="Smelter not yet identified"),MATCH($B1169&amp;$D1169,'Smelter Look-up'!$J:$J,0),MATCH($B1169&amp;$C1169,'Smelter Look-up'!$J:$J,0)))</f>
        <v>477</v>
      </c>
      <c r="X1169" s="227">
        <f t="shared" si="165"/>
        <v>0</v>
      </c>
      <c r="AB1169" s="228" t="str">
        <f t="shared" si="166"/>
        <v>TinMentok Smelter</v>
      </c>
    </row>
    <row r="1170" spans="1:28" s="227" customFormat="1" ht="40.5">
      <c r="A1170" s="301" t="s">
        <v>776</v>
      </c>
      <c r="B1170" s="293" t="s">
        <v>1120</v>
      </c>
      <c r="C1170" s="294" t="s">
        <v>2216</v>
      </c>
      <c r="D1170" s="295" t="s">
        <v>13778</v>
      </c>
      <c r="E1170" s="293" t="s">
        <v>1095</v>
      </c>
      <c r="F1170" s="293" t="s">
        <v>776</v>
      </c>
      <c r="G1170" s="293" t="s">
        <v>13217</v>
      </c>
      <c r="H1170" s="296" t="s">
        <v>15855</v>
      </c>
      <c r="I1170" s="297" t="s">
        <v>1780</v>
      </c>
      <c r="J1170" s="297" t="s">
        <v>12830</v>
      </c>
      <c r="K1170" s="298" t="s">
        <v>15855</v>
      </c>
      <c r="L1170" s="298" t="s">
        <v>15855</v>
      </c>
      <c r="M1170" s="298" t="s">
        <v>15855</v>
      </c>
      <c r="N1170" s="298" t="s">
        <v>15855</v>
      </c>
      <c r="O1170" s="298" t="s">
        <v>15855</v>
      </c>
      <c r="P1170" s="299" t="s">
        <v>15857</v>
      </c>
      <c r="Q1170" s="300" t="s">
        <v>15855</v>
      </c>
      <c r="R1170" s="182" t="str">
        <f ca="1">IF(ISERROR($V1170),"",OFFSET('Smelter Look-up'!$C$4,$V1170-4,0)&amp;"")</f>
        <v>PT Timah Tbk Mentok</v>
      </c>
      <c r="S1170" s="181" t="str">
        <f t="shared" ca="1" si="164"/>
        <v>ID</v>
      </c>
      <c r="T1170" s="181" t="str">
        <f ca="1">IF(B1170="","",IF(ISERROR(MATCH($J1170,SorP!$B$1:$B$6226,0)),"",INDIRECT("'SorP'!$A$"&amp;MATCH($S1170&amp;$J1170,SorP!C:C,0))))</f>
        <v>ID-BB</v>
      </c>
      <c r="U1170" s="201"/>
      <c r="V1170" s="226">
        <f>IF(C1170="",NA(),IF(OR(C1170="Smelter not listed",C1170="Smelter not yet identified"),MATCH($B1170&amp;$D1170,'Smelter Look-up'!$J:$J,0),MATCH($B1170&amp;$C1170,'Smelter Look-up'!$J:$J,0)))</f>
        <v>477</v>
      </c>
      <c r="X1170" s="227">
        <f t="shared" si="165"/>
        <v>0</v>
      </c>
      <c r="AB1170" s="228" t="str">
        <f t="shared" si="166"/>
        <v>TinMentok Smelter</v>
      </c>
    </row>
    <row r="1171" spans="1:28" s="227" customFormat="1" ht="54">
      <c r="A1171" s="301" t="s">
        <v>776</v>
      </c>
      <c r="B1171" s="293" t="s">
        <v>1120</v>
      </c>
      <c r="C1171" s="294" t="s">
        <v>13778</v>
      </c>
      <c r="D1171" s="295" t="s">
        <v>13778</v>
      </c>
      <c r="E1171" s="293" t="s">
        <v>1095</v>
      </c>
      <c r="F1171" s="293" t="s">
        <v>776</v>
      </c>
      <c r="G1171" s="293" t="s">
        <v>13217</v>
      </c>
      <c r="H1171" s="296" t="s">
        <v>15855</v>
      </c>
      <c r="I1171" s="297" t="s">
        <v>1780</v>
      </c>
      <c r="J1171" s="297" t="s">
        <v>12830</v>
      </c>
      <c r="K1171" s="298" t="s">
        <v>15855</v>
      </c>
      <c r="L1171" s="298" t="s">
        <v>15855</v>
      </c>
      <c r="M1171" s="298" t="s">
        <v>15855</v>
      </c>
      <c r="N1171" s="298" t="s">
        <v>15855</v>
      </c>
      <c r="O1171" s="298" t="s">
        <v>15855</v>
      </c>
      <c r="P1171" s="299" t="s">
        <v>15857</v>
      </c>
      <c r="Q1171" s="300" t="s">
        <v>15855</v>
      </c>
      <c r="R1171" s="182" t="str">
        <f ca="1">IF(ISERROR($V1171),"",OFFSET('Smelter Look-up'!$C$4,$V1171-4,0)&amp;"")</f>
        <v>PT Timah Tbk Mentok</v>
      </c>
      <c r="S1171" s="181" t="str">
        <f t="shared" ca="1" si="164"/>
        <v>ID</v>
      </c>
      <c r="T1171" s="181" t="str">
        <f ca="1">IF(B1171="","",IF(ISERROR(MATCH($J1171,SorP!$B$1:$B$6226,0)),"",INDIRECT("'SorP'!$A$"&amp;MATCH($S1171&amp;$J1171,SorP!C:C,0))))</f>
        <v>ID-BB</v>
      </c>
      <c r="U1171" s="201"/>
      <c r="V1171" s="226">
        <f>IF(C1171="",NA(),IF(OR(C1171="Smelter not listed",C1171="Smelter not yet identified"),MATCH($B1171&amp;$D1171,'Smelter Look-up'!$J:$J,0),MATCH($B1171&amp;$C1171,'Smelter Look-up'!$J:$J,0)))</f>
        <v>533</v>
      </c>
      <c r="X1171" s="227">
        <f t="shared" si="165"/>
        <v>0</v>
      </c>
      <c r="AB1171" s="228" t="str">
        <f t="shared" si="166"/>
        <v>TinPT Timah Tbk Mentok</v>
      </c>
    </row>
    <row r="1172" spans="1:28" s="227" customFormat="1" ht="54">
      <c r="A1172" s="301" t="s">
        <v>776</v>
      </c>
      <c r="B1172" s="293" t="s">
        <v>1120</v>
      </c>
      <c r="C1172" s="294" t="s">
        <v>13778</v>
      </c>
      <c r="D1172" s="295" t="s">
        <v>13778</v>
      </c>
      <c r="E1172" s="293" t="s">
        <v>1095</v>
      </c>
      <c r="F1172" s="293" t="s">
        <v>776</v>
      </c>
      <c r="G1172" s="293" t="s">
        <v>13217</v>
      </c>
      <c r="H1172" s="296" t="s">
        <v>15855</v>
      </c>
      <c r="I1172" s="297" t="s">
        <v>1780</v>
      </c>
      <c r="J1172" s="297" t="s">
        <v>12830</v>
      </c>
      <c r="K1172" s="298" t="s">
        <v>15855</v>
      </c>
      <c r="L1172" s="298" t="s">
        <v>15855</v>
      </c>
      <c r="M1172" s="298" t="s">
        <v>15855</v>
      </c>
      <c r="N1172" s="298" t="s">
        <v>15855</v>
      </c>
      <c r="O1172" s="298" t="s">
        <v>15855</v>
      </c>
      <c r="P1172" s="299" t="s">
        <v>15857</v>
      </c>
      <c r="Q1172" s="300" t="s">
        <v>16531</v>
      </c>
      <c r="R1172" s="182" t="str">
        <f ca="1">IF(ISERROR($V1172),"",OFFSET('Smelter Look-up'!$C$4,$V1172-4,0)&amp;"")</f>
        <v>PT Timah Tbk Mentok</v>
      </c>
      <c r="S1172" s="181" t="str">
        <f t="shared" ca="1" si="164"/>
        <v>ID</v>
      </c>
      <c r="T1172" s="181" t="str">
        <f ca="1">IF(B1172="","",IF(ISERROR(MATCH($J1172,SorP!$B$1:$B$6226,0)),"",INDIRECT("'SorP'!$A$"&amp;MATCH($S1172&amp;$J1172,SorP!C:C,0))))</f>
        <v>ID-BB</v>
      </c>
      <c r="U1172" s="201"/>
      <c r="V1172" s="226">
        <f>IF(C1172="",NA(),IF(OR(C1172="Smelter not listed",C1172="Smelter not yet identified"),MATCH($B1172&amp;$D1172,'Smelter Look-up'!$J:$J,0),MATCH($B1172&amp;$C1172,'Smelter Look-up'!$J:$J,0)))</f>
        <v>533</v>
      </c>
      <c r="X1172" s="227">
        <f t="shared" si="165"/>
        <v>0</v>
      </c>
      <c r="AB1172" s="228" t="str">
        <f t="shared" si="166"/>
        <v>TinPT Timah Tbk Mentok</v>
      </c>
    </row>
    <row r="1173" spans="1:28" s="227" customFormat="1" ht="54">
      <c r="A1173" s="301" t="s">
        <v>776</v>
      </c>
      <c r="B1173" s="293" t="s">
        <v>1120</v>
      </c>
      <c r="C1173" s="294" t="s">
        <v>13778</v>
      </c>
      <c r="D1173" s="295" t="s">
        <v>13778</v>
      </c>
      <c r="E1173" s="293" t="s">
        <v>1095</v>
      </c>
      <c r="F1173" s="293" t="s">
        <v>776</v>
      </c>
      <c r="G1173" s="293" t="s">
        <v>13217</v>
      </c>
      <c r="H1173" s="296" t="s">
        <v>15855</v>
      </c>
      <c r="I1173" s="297" t="s">
        <v>1780</v>
      </c>
      <c r="J1173" s="297" t="s">
        <v>12830</v>
      </c>
      <c r="K1173" s="298" t="s">
        <v>15855</v>
      </c>
      <c r="L1173" s="298" t="s">
        <v>15855</v>
      </c>
      <c r="M1173" s="298" t="s">
        <v>15855</v>
      </c>
      <c r="N1173" s="298" t="s">
        <v>15855</v>
      </c>
      <c r="O1173" s="298" t="s">
        <v>15855</v>
      </c>
      <c r="P1173" s="299" t="s">
        <v>15875</v>
      </c>
      <c r="Q1173" s="300" t="s">
        <v>15855</v>
      </c>
      <c r="R1173" s="182" t="str">
        <f ca="1">IF(ISERROR($V1173),"",OFFSET('Smelter Look-up'!$C$4,$V1173-4,0)&amp;"")</f>
        <v>PT Timah Tbk Mentok</v>
      </c>
      <c r="S1173" s="181" t="str">
        <f t="shared" ca="1" si="164"/>
        <v>ID</v>
      </c>
      <c r="T1173" s="181" t="str">
        <f ca="1">IF(B1173="","",IF(ISERROR(MATCH($J1173,SorP!$B$1:$B$6226,0)),"",INDIRECT("'SorP'!$A$"&amp;MATCH($S1173&amp;$J1173,SorP!C:C,0))))</f>
        <v>ID-BB</v>
      </c>
      <c r="U1173" s="201"/>
      <c r="V1173" s="226">
        <f>IF(C1173="",NA(),IF(OR(C1173="Smelter not listed",C1173="Smelter not yet identified"),MATCH($B1173&amp;$D1173,'Smelter Look-up'!$J:$J,0),MATCH($B1173&amp;$C1173,'Smelter Look-up'!$J:$J,0)))</f>
        <v>533</v>
      </c>
      <c r="X1173" s="227">
        <f t="shared" si="165"/>
        <v>0</v>
      </c>
      <c r="AB1173" s="228" t="str">
        <f t="shared" si="166"/>
        <v>TinPT Timah Tbk Mentok</v>
      </c>
    </row>
    <row r="1174" spans="1:28" s="227" customFormat="1" ht="54">
      <c r="A1174" s="301" t="s">
        <v>776</v>
      </c>
      <c r="B1174" s="293" t="s">
        <v>1120</v>
      </c>
      <c r="C1174" s="294" t="s">
        <v>13778</v>
      </c>
      <c r="D1174" s="295" t="s">
        <v>13778</v>
      </c>
      <c r="E1174" s="293" t="s">
        <v>1095</v>
      </c>
      <c r="F1174" s="293" t="s">
        <v>776</v>
      </c>
      <c r="G1174" s="293" t="s">
        <v>13217</v>
      </c>
      <c r="H1174" s="296" t="s">
        <v>15855</v>
      </c>
      <c r="I1174" s="297" t="s">
        <v>1780</v>
      </c>
      <c r="J1174" s="297" t="s">
        <v>12830</v>
      </c>
      <c r="K1174" s="298" t="s">
        <v>15855</v>
      </c>
      <c r="L1174" s="298" t="s">
        <v>15855</v>
      </c>
      <c r="M1174" s="298" t="s">
        <v>15855</v>
      </c>
      <c r="N1174" s="298" t="s">
        <v>15855</v>
      </c>
      <c r="O1174" s="298" t="s">
        <v>16850</v>
      </c>
      <c r="P1174" s="299" t="s">
        <v>15857</v>
      </c>
      <c r="Q1174" s="300" t="s">
        <v>15855</v>
      </c>
      <c r="R1174" s="182" t="str">
        <f ca="1">IF(ISERROR($V1174),"",OFFSET('Smelter Look-up'!$C$4,$V1174-4,0)&amp;"")</f>
        <v>PT Timah Tbk Mentok</v>
      </c>
      <c r="S1174" s="181" t="str">
        <f t="shared" ca="1" si="164"/>
        <v>ID</v>
      </c>
      <c r="T1174" s="181" t="str">
        <f ca="1">IF(B1174="","",IF(ISERROR(MATCH($J1174,SorP!$B$1:$B$6226,0)),"",INDIRECT("'SorP'!$A$"&amp;MATCH($S1174&amp;$J1174,SorP!C:C,0))))</f>
        <v>ID-BB</v>
      </c>
      <c r="U1174" s="201"/>
      <c r="V1174" s="226">
        <f>IF(C1174="",NA(),IF(OR(C1174="Smelter not listed",C1174="Smelter not yet identified"),MATCH($B1174&amp;$D1174,'Smelter Look-up'!$J:$J,0),MATCH($B1174&amp;$C1174,'Smelter Look-up'!$J:$J,0)))</f>
        <v>533</v>
      </c>
      <c r="X1174" s="227">
        <f t="shared" si="165"/>
        <v>0</v>
      </c>
      <c r="AB1174" s="228" t="str">
        <f t="shared" si="166"/>
        <v>TinPT Timah Tbk Mentok</v>
      </c>
    </row>
    <row r="1175" spans="1:28" s="227" customFormat="1" ht="54">
      <c r="A1175" s="301" t="s">
        <v>776</v>
      </c>
      <c r="B1175" s="293" t="s">
        <v>1120</v>
      </c>
      <c r="C1175" s="294" t="s">
        <v>13778</v>
      </c>
      <c r="D1175" s="295" t="s">
        <v>13778</v>
      </c>
      <c r="E1175" s="293" t="s">
        <v>1095</v>
      </c>
      <c r="F1175" s="293" t="s">
        <v>776</v>
      </c>
      <c r="G1175" s="293" t="s">
        <v>13217</v>
      </c>
      <c r="H1175" s="296" t="s">
        <v>15855</v>
      </c>
      <c r="I1175" s="297" t="s">
        <v>1780</v>
      </c>
      <c r="J1175" s="297" t="s">
        <v>12830</v>
      </c>
      <c r="K1175" s="298" t="s">
        <v>15855</v>
      </c>
      <c r="L1175" s="298" t="s">
        <v>16838</v>
      </c>
      <c r="M1175" s="298" t="s">
        <v>16839</v>
      </c>
      <c r="N1175" s="298" t="s">
        <v>15855</v>
      </c>
      <c r="O1175" s="298" t="s">
        <v>16796</v>
      </c>
      <c r="P1175" s="299" t="s">
        <v>15857</v>
      </c>
      <c r="Q1175" s="300" t="s">
        <v>485</v>
      </c>
      <c r="R1175" s="182" t="str">
        <f ca="1">IF(ISERROR($V1175),"",OFFSET('Smelter Look-up'!$C$4,$V1175-4,0)&amp;"")</f>
        <v>PT Timah Tbk Mentok</v>
      </c>
      <c r="S1175" s="181" t="str">
        <f t="shared" ca="1" si="164"/>
        <v>ID</v>
      </c>
      <c r="T1175" s="181" t="str">
        <f ca="1">IF(B1175="","",IF(ISERROR(MATCH($J1175,SorP!$B$1:$B$6226,0)),"",INDIRECT("'SorP'!$A$"&amp;MATCH($S1175&amp;$J1175,SorP!C:C,0))))</f>
        <v>ID-BB</v>
      </c>
      <c r="U1175" s="201"/>
      <c r="V1175" s="226">
        <f>IF(C1175="",NA(),IF(OR(C1175="Smelter not listed",C1175="Smelter not yet identified"),MATCH($B1175&amp;$D1175,'Smelter Look-up'!$J:$J,0),MATCH($B1175&amp;$C1175,'Smelter Look-up'!$J:$J,0)))</f>
        <v>533</v>
      </c>
      <c r="X1175" s="227">
        <f t="shared" si="165"/>
        <v>0</v>
      </c>
      <c r="AB1175" s="228" t="str">
        <f t="shared" si="166"/>
        <v>TinPT Timah Tbk Mentok</v>
      </c>
    </row>
    <row r="1176" spans="1:28" s="227" customFormat="1" ht="54">
      <c r="A1176" s="301" t="s">
        <v>776</v>
      </c>
      <c r="B1176" s="293" t="s">
        <v>1120</v>
      </c>
      <c r="C1176" s="294" t="s">
        <v>13778</v>
      </c>
      <c r="D1176" s="295" t="s">
        <v>13778</v>
      </c>
      <c r="E1176" s="293" t="s">
        <v>1095</v>
      </c>
      <c r="F1176" s="293" t="s">
        <v>776</v>
      </c>
      <c r="G1176" s="293" t="s">
        <v>13217</v>
      </c>
      <c r="H1176" s="296" t="s">
        <v>15855</v>
      </c>
      <c r="I1176" s="297" t="s">
        <v>1780</v>
      </c>
      <c r="J1176" s="297" t="s">
        <v>12830</v>
      </c>
      <c r="K1176" s="298" t="s">
        <v>16830</v>
      </c>
      <c r="L1176" s="298" t="s">
        <v>16851</v>
      </c>
      <c r="M1176" s="298" t="s">
        <v>12593</v>
      </c>
      <c r="N1176" s="298" t="s">
        <v>12593</v>
      </c>
      <c r="O1176" s="298" t="s">
        <v>12593</v>
      </c>
      <c r="P1176" s="299" t="s">
        <v>15857</v>
      </c>
      <c r="Q1176" s="300" t="s">
        <v>15855</v>
      </c>
      <c r="R1176" s="182" t="str">
        <f ca="1">IF(ISERROR($V1176),"",OFFSET('Smelter Look-up'!$C$4,$V1176-4,0)&amp;"")</f>
        <v>PT Timah Tbk Mentok</v>
      </c>
      <c r="S1176" s="181" t="str">
        <f t="shared" ca="1" si="164"/>
        <v>ID</v>
      </c>
      <c r="T1176" s="181" t="str">
        <f ca="1">IF(B1176="","",IF(ISERROR(MATCH($J1176,SorP!$B$1:$B$6226,0)),"",INDIRECT("'SorP'!$A$"&amp;MATCH($S1176&amp;$J1176,SorP!C:C,0))))</f>
        <v>ID-BB</v>
      </c>
      <c r="U1176" s="201"/>
      <c r="V1176" s="226">
        <f>IF(C1176="",NA(),IF(OR(C1176="Smelter not listed",C1176="Smelter not yet identified"),MATCH($B1176&amp;$D1176,'Smelter Look-up'!$J:$J,0),MATCH($B1176&amp;$C1176,'Smelter Look-up'!$J:$J,0)))</f>
        <v>533</v>
      </c>
      <c r="X1176" s="227">
        <f t="shared" si="165"/>
        <v>0</v>
      </c>
      <c r="AB1176" s="228" t="str">
        <f t="shared" si="166"/>
        <v>TinPT Timah Tbk Mentok</v>
      </c>
    </row>
    <row r="1177" spans="1:28" s="227" customFormat="1" ht="54">
      <c r="A1177" s="301" t="s">
        <v>776</v>
      </c>
      <c r="B1177" s="293" t="s">
        <v>1120</v>
      </c>
      <c r="C1177" s="294" t="s">
        <v>13778</v>
      </c>
      <c r="D1177" s="295" t="s">
        <v>13778</v>
      </c>
      <c r="E1177" s="293" t="s">
        <v>1095</v>
      </c>
      <c r="F1177" s="293" t="s">
        <v>776</v>
      </c>
      <c r="G1177" s="293" t="s">
        <v>13217</v>
      </c>
      <c r="H1177" s="296" t="s">
        <v>15855</v>
      </c>
      <c r="I1177" s="297" t="s">
        <v>1780</v>
      </c>
      <c r="J1177" s="297" t="s">
        <v>12830</v>
      </c>
      <c r="K1177" s="298" t="s">
        <v>16834</v>
      </c>
      <c r="L1177" s="298" t="s">
        <v>16835</v>
      </c>
      <c r="M1177" s="298" t="s">
        <v>15869</v>
      </c>
      <c r="N1177" s="298" t="s">
        <v>16852</v>
      </c>
      <c r="O1177" s="298" t="s">
        <v>16799</v>
      </c>
      <c r="P1177" s="299" t="s">
        <v>15857</v>
      </c>
      <c r="Q1177" s="300" t="s">
        <v>15855</v>
      </c>
      <c r="R1177" s="182" t="str">
        <f ca="1">IF(ISERROR($V1177),"",OFFSET('Smelter Look-up'!$C$4,$V1177-4,0)&amp;"")</f>
        <v>PT Timah Tbk Mentok</v>
      </c>
      <c r="S1177" s="181" t="str">
        <f t="shared" ca="1" si="164"/>
        <v>ID</v>
      </c>
      <c r="T1177" s="181" t="str">
        <f ca="1">IF(B1177="","",IF(ISERROR(MATCH($J1177,SorP!$B$1:$B$6226,0)),"",INDIRECT("'SorP'!$A$"&amp;MATCH($S1177&amp;$J1177,SorP!C:C,0))))</f>
        <v>ID-BB</v>
      </c>
      <c r="U1177" s="201"/>
      <c r="V1177" s="226">
        <f>IF(C1177="",NA(),IF(OR(C1177="Smelter not listed",C1177="Smelter not yet identified"),MATCH($B1177&amp;$D1177,'Smelter Look-up'!$J:$J,0),MATCH($B1177&amp;$C1177,'Smelter Look-up'!$J:$J,0)))</f>
        <v>533</v>
      </c>
      <c r="X1177" s="227">
        <f t="shared" si="165"/>
        <v>0</v>
      </c>
      <c r="AB1177" s="228" t="str">
        <f t="shared" si="166"/>
        <v>TinPT Timah Tbk Mentok</v>
      </c>
    </row>
    <row r="1178" spans="1:28" s="227" customFormat="1" ht="54">
      <c r="A1178" s="301" t="s">
        <v>776</v>
      </c>
      <c r="B1178" s="293" t="s">
        <v>1120</v>
      </c>
      <c r="C1178" s="294" t="s">
        <v>13778</v>
      </c>
      <c r="D1178" s="295" t="s">
        <v>13778</v>
      </c>
      <c r="E1178" s="293" t="s">
        <v>1095</v>
      </c>
      <c r="F1178" s="293" t="s">
        <v>776</v>
      </c>
      <c r="G1178" s="293" t="s">
        <v>13217</v>
      </c>
      <c r="H1178" s="302" t="s">
        <v>15880</v>
      </c>
      <c r="I1178" s="297" t="s">
        <v>1780</v>
      </c>
      <c r="J1178" s="297" t="s">
        <v>12830</v>
      </c>
      <c r="K1178" s="298" t="s">
        <v>15855</v>
      </c>
      <c r="L1178" s="298" t="s">
        <v>15855</v>
      </c>
      <c r="M1178" s="298" t="s">
        <v>15855</v>
      </c>
      <c r="N1178" s="298" t="s">
        <v>15855</v>
      </c>
      <c r="O1178" s="298" t="s">
        <v>15855</v>
      </c>
      <c r="P1178" s="299" t="s">
        <v>15857</v>
      </c>
      <c r="Q1178" s="300" t="s">
        <v>15855</v>
      </c>
      <c r="R1178" s="182" t="str">
        <f ca="1">IF(ISERROR($V1178),"",OFFSET('Smelter Look-up'!$C$4,$V1178-4,0)&amp;"")</f>
        <v>PT Timah Tbk Mentok</v>
      </c>
      <c r="S1178" s="181" t="str">
        <f t="shared" ca="1" si="164"/>
        <v>ID</v>
      </c>
      <c r="T1178" s="181" t="str">
        <f ca="1">IF(B1178="","",IF(ISERROR(MATCH($J1178,SorP!$B$1:$B$6226,0)),"",INDIRECT("'SorP'!$A$"&amp;MATCH($S1178&amp;$J1178,SorP!C:C,0))))</f>
        <v>ID-BB</v>
      </c>
      <c r="U1178" s="201"/>
      <c r="V1178" s="226">
        <f>IF(C1178="",NA(),IF(OR(C1178="Smelter not listed",C1178="Smelter not yet identified"),MATCH($B1178&amp;$D1178,'Smelter Look-up'!$J:$J,0),MATCH($B1178&amp;$C1178,'Smelter Look-up'!$J:$J,0)))</f>
        <v>533</v>
      </c>
      <c r="X1178" s="227">
        <f t="shared" si="165"/>
        <v>0</v>
      </c>
      <c r="AB1178" s="228" t="str">
        <f t="shared" si="166"/>
        <v>TinPT Timah Tbk Mentok</v>
      </c>
    </row>
    <row r="1179" spans="1:28" s="227" customFormat="1" ht="54">
      <c r="A1179" s="301" t="s">
        <v>776</v>
      </c>
      <c r="B1179" s="293" t="s">
        <v>1120</v>
      </c>
      <c r="C1179" s="294" t="s">
        <v>13778</v>
      </c>
      <c r="D1179" s="295" t="s">
        <v>13778</v>
      </c>
      <c r="E1179" s="293" t="s">
        <v>1095</v>
      </c>
      <c r="F1179" s="293" t="s">
        <v>776</v>
      </c>
      <c r="G1179" s="293" t="s">
        <v>13217</v>
      </c>
      <c r="H1179" s="302" t="s">
        <v>15880</v>
      </c>
      <c r="I1179" s="297" t="s">
        <v>1780</v>
      </c>
      <c r="J1179" s="297" t="s">
        <v>12830</v>
      </c>
      <c r="K1179" s="298" t="s">
        <v>15881</v>
      </c>
      <c r="L1179" s="298" t="s">
        <v>15881</v>
      </c>
      <c r="M1179" s="298" t="s">
        <v>12593</v>
      </c>
      <c r="N1179" s="298" t="s">
        <v>15881</v>
      </c>
      <c r="O1179" s="298" t="s">
        <v>15881</v>
      </c>
      <c r="P1179" s="299" t="s">
        <v>15857</v>
      </c>
      <c r="Q1179" s="300" t="s">
        <v>15855</v>
      </c>
      <c r="R1179" s="182" t="str">
        <f ca="1">IF(ISERROR($V1179),"",OFFSET('Smelter Look-up'!$C$4,$V1179-4,0)&amp;"")</f>
        <v>PT Timah Tbk Mentok</v>
      </c>
      <c r="S1179" s="181" t="str">
        <f t="shared" ca="1" si="164"/>
        <v>ID</v>
      </c>
      <c r="T1179" s="181" t="str">
        <f ca="1">IF(B1179="","",IF(ISERROR(MATCH($J1179,SorP!$B$1:$B$6226,0)),"",INDIRECT("'SorP'!$A$"&amp;MATCH($S1179&amp;$J1179,SorP!C:C,0))))</f>
        <v>ID-BB</v>
      </c>
      <c r="U1179" s="201"/>
      <c r="V1179" s="226">
        <f>IF(C1179="",NA(),IF(OR(C1179="Smelter not listed",C1179="Smelter not yet identified"),MATCH($B1179&amp;$D1179,'Smelter Look-up'!$J:$J,0),MATCH($B1179&amp;$C1179,'Smelter Look-up'!$J:$J,0)))</f>
        <v>533</v>
      </c>
      <c r="X1179" s="227">
        <f t="shared" si="165"/>
        <v>0</v>
      </c>
      <c r="AB1179" s="228" t="str">
        <f t="shared" si="166"/>
        <v>TinPT Timah Tbk Mentok</v>
      </c>
    </row>
    <row r="1180" spans="1:28" s="227" customFormat="1" ht="54">
      <c r="A1180" s="301" t="s">
        <v>776</v>
      </c>
      <c r="B1180" s="293" t="s">
        <v>1120</v>
      </c>
      <c r="C1180" s="294" t="s">
        <v>13778</v>
      </c>
      <c r="D1180" s="295" t="s">
        <v>13778</v>
      </c>
      <c r="E1180" s="293" t="s">
        <v>1095</v>
      </c>
      <c r="F1180" s="293" t="s">
        <v>776</v>
      </c>
      <c r="G1180" s="293" t="s">
        <v>13217</v>
      </c>
      <c r="H1180" s="302" t="s">
        <v>15880</v>
      </c>
      <c r="I1180" s="297" t="s">
        <v>1780</v>
      </c>
      <c r="J1180" s="297" t="s">
        <v>12830</v>
      </c>
      <c r="K1180" s="298" t="s">
        <v>16825</v>
      </c>
      <c r="L1180" s="298" t="s">
        <v>16211</v>
      </c>
      <c r="M1180" s="298" t="s">
        <v>16345</v>
      </c>
      <c r="N1180" s="298" t="s">
        <v>16540</v>
      </c>
      <c r="O1180" s="298" t="s">
        <v>16540</v>
      </c>
      <c r="P1180" s="299" t="s">
        <v>15857</v>
      </c>
      <c r="Q1180" s="300" t="s">
        <v>16569</v>
      </c>
      <c r="R1180" s="182" t="str">
        <f ca="1">IF(ISERROR($V1180),"",OFFSET('Smelter Look-up'!$C$4,$V1180-4,0)&amp;"")</f>
        <v>PT Timah Tbk Mentok</v>
      </c>
      <c r="S1180" s="181" t="str">
        <f t="shared" ref="S1180:S1210" ca="1" si="167">IF(B1180="","",IF(ISERROR(MATCH($E1180,CL,0)),"Unknown",INDIRECT("'C'!$A$"&amp;MATCH($E1180,CL,0)+1)))</f>
        <v>ID</v>
      </c>
      <c r="T1180" s="181" t="str">
        <f ca="1">IF(B1180="","",IF(ISERROR(MATCH($J1180,SorP!$B$1:$B$6226,0)),"",INDIRECT("'SorP'!$A$"&amp;MATCH($S1180&amp;$J1180,SorP!C:C,0))))</f>
        <v>ID-BB</v>
      </c>
      <c r="U1180" s="201"/>
      <c r="V1180" s="226">
        <f>IF(C1180="",NA(),IF(OR(C1180="Smelter not listed",C1180="Smelter not yet identified"),MATCH($B1180&amp;$D1180,'Smelter Look-up'!$J:$J,0),MATCH($B1180&amp;$C1180,'Smelter Look-up'!$J:$J,0)))</f>
        <v>533</v>
      </c>
      <c r="X1180" s="227">
        <f t="shared" ref="X1180:X1210" si="168">IF(AND(C1180="Smelter not listed",OR(LEN(D1180)=0,LEN(E1180)=0)),1,0)</f>
        <v>0</v>
      </c>
      <c r="AB1180" s="228" t="str">
        <f t="shared" ref="AB1180:AB1210" si="169">B1180&amp;C1180</f>
        <v>TinPT Timah Tbk Mentok</v>
      </c>
    </row>
    <row r="1181" spans="1:28" s="227" customFormat="1" ht="54">
      <c r="A1181" s="301" t="s">
        <v>776</v>
      </c>
      <c r="B1181" s="293" t="s">
        <v>1120</v>
      </c>
      <c r="C1181" s="294" t="s">
        <v>13778</v>
      </c>
      <c r="D1181" s="295" t="s">
        <v>13778</v>
      </c>
      <c r="E1181" s="293" t="s">
        <v>1095</v>
      </c>
      <c r="F1181" s="293" t="s">
        <v>776</v>
      </c>
      <c r="G1181" s="293" t="s">
        <v>13217</v>
      </c>
      <c r="H1181" s="296" t="s">
        <v>16853</v>
      </c>
      <c r="I1181" s="297" t="s">
        <v>1780</v>
      </c>
      <c r="J1181" s="297" t="s">
        <v>12830</v>
      </c>
      <c r="K1181" s="298" t="s">
        <v>16838</v>
      </c>
      <c r="L1181" s="298" t="s">
        <v>16839</v>
      </c>
      <c r="M1181" s="298" t="s">
        <v>15855</v>
      </c>
      <c r="N1181" s="298" t="s">
        <v>16854</v>
      </c>
      <c r="O1181" s="298" t="s">
        <v>16735</v>
      </c>
      <c r="P1181" s="299" t="s">
        <v>15857</v>
      </c>
      <c r="Q1181" s="300" t="s">
        <v>16611</v>
      </c>
      <c r="R1181" s="182" t="str">
        <f ca="1">IF(ISERROR($V1181),"",OFFSET('Smelter Look-up'!$C$4,$V1181-4,0)&amp;"")</f>
        <v>PT Timah Tbk Mentok</v>
      </c>
      <c r="S1181" s="181" t="str">
        <f t="shared" ca="1" si="167"/>
        <v>ID</v>
      </c>
      <c r="T1181" s="181" t="str">
        <f ca="1">IF(B1181="","",IF(ISERROR(MATCH($J1181,SorP!$B$1:$B$6226,0)),"",INDIRECT("'SorP'!$A$"&amp;MATCH($S1181&amp;$J1181,SorP!C:C,0))))</f>
        <v>ID-BB</v>
      </c>
      <c r="U1181" s="201"/>
      <c r="V1181" s="226">
        <f>IF(C1181="",NA(),IF(OR(C1181="Smelter not listed",C1181="Smelter not yet identified"),MATCH($B1181&amp;$D1181,'Smelter Look-up'!$J:$J,0),MATCH($B1181&amp;$C1181,'Smelter Look-up'!$J:$J,0)))</f>
        <v>533</v>
      </c>
      <c r="X1181" s="227">
        <f t="shared" si="168"/>
        <v>0</v>
      </c>
      <c r="AB1181" s="228" t="str">
        <f t="shared" si="169"/>
        <v>TinPT Timah Tbk Mentok</v>
      </c>
    </row>
    <row r="1182" spans="1:28" s="227" customFormat="1" ht="54">
      <c r="A1182" s="301" t="s">
        <v>776</v>
      </c>
      <c r="B1182" s="293" t="s">
        <v>1120</v>
      </c>
      <c r="C1182" s="294" t="s">
        <v>13778</v>
      </c>
      <c r="D1182" s="295" t="s">
        <v>13778</v>
      </c>
      <c r="E1182" s="293" t="s">
        <v>1095</v>
      </c>
      <c r="F1182" s="293" t="s">
        <v>776</v>
      </c>
      <c r="G1182" s="293" t="s">
        <v>13217</v>
      </c>
      <c r="H1182" s="296" t="s">
        <v>16853</v>
      </c>
      <c r="I1182" s="297" t="s">
        <v>1780</v>
      </c>
      <c r="J1182" s="297" t="s">
        <v>12830</v>
      </c>
      <c r="K1182" s="298" t="s">
        <v>16838</v>
      </c>
      <c r="L1182" s="298" t="s">
        <v>16839</v>
      </c>
      <c r="M1182" s="298" t="s">
        <v>16670</v>
      </c>
      <c r="N1182" s="298" t="s">
        <v>16854</v>
      </c>
      <c r="O1182" s="298" t="s">
        <v>16735</v>
      </c>
      <c r="P1182" s="299" t="s">
        <v>15857</v>
      </c>
      <c r="Q1182" s="300" t="s">
        <v>16611</v>
      </c>
      <c r="R1182" s="182" t="str">
        <f ca="1">IF(ISERROR($V1182),"",OFFSET('Smelter Look-up'!$C$4,$V1182-4,0)&amp;"")</f>
        <v>PT Timah Tbk Mentok</v>
      </c>
      <c r="S1182" s="181" t="str">
        <f t="shared" ca="1" si="167"/>
        <v>ID</v>
      </c>
      <c r="T1182" s="181" t="str">
        <f ca="1">IF(B1182="","",IF(ISERROR(MATCH($J1182,SorP!$B$1:$B$6226,0)),"",INDIRECT("'SorP'!$A$"&amp;MATCH($S1182&amp;$J1182,SorP!C:C,0))))</f>
        <v>ID-BB</v>
      </c>
      <c r="U1182" s="201"/>
      <c r="V1182" s="226">
        <f>IF(C1182="",NA(),IF(OR(C1182="Smelter not listed",C1182="Smelter not yet identified"),MATCH($B1182&amp;$D1182,'Smelter Look-up'!$J:$J,0),MATCH($B1182&amp;$C1182,'Smelter Look-up'!$J:$J,0)))</f>
        <v>533</v>
      </c>
      <c r="X1182" s="227">
        <f t="shared" si="168"/>
        <v>0</v>
      </c>
      <c r="AB1182" s="228" t="str">
        <f t="shared" si="169"/>
        <v>TinPT Timah Tbk Mentok</v>
      </c>
    </row>
    <row r="1183" spans="1:28" s="227" customFormat="1" ht="94.5">
      <c r="A1183" s="301" t="s">
        <v>776</v>
      </c>
      <c r="B1183" s="293" t="s">
        <v>1120</v>
      </c>
      <c r="C1183" s="294" t="s">
        <v>13778</v>
      </c>
      <c r="D1183" s="295" t="s">
        <v>13778</v>
      </c>
      <c r="E1183" s="293" t="s">
        <v>1095</v>
      </c>
      <c r="F1183" s="293" t="s">
        <v>776</v>
      </c>
      <c r="G1183" s="293" t="s">
        <v>13217</v>
      </c>
      <c r="H1183" s="296" t="s">
        <v>16853</v>
      </c>
      <c r="I1183" s="297" t="s">
        <v>1780</v>
      </c>
      <c r="J1183" s="297" t="s">
        <v>12830</v>
      </c>
      <c r="K1183" s="298" t="s">
        <v>16838</v>
      </c>
      <c r="L1183" s="298" t="s">
        <v>16839</v>
      </c>
      <c r="M1183" s="298" t="s">
        <v>16855</v>
      </c>
      <c r="N1183" s="298" t="s">
        <v>16854</v>
      </c>
      <c r="O1183" s="298" t="s">
        <v>16735</v>
      </c>
      <c r="P1183" s="299" t="s">
        <v>15857</v>
      </c>
      <c r="Q1183" s="300" t="s">
        <v>16611</v>
      </c>
      <c r="R1183" s="182" t="str">
        <f ca="1">IF(ISERROR($V1183),"",OFFSET('Smelter Look-up'!$C$4,$V1183-4,0)&amp;"")</f>
        <v>PT Timah Tbk Mentok</v>
      </c>
      <c r="S1183" s="181" t="str">
        <f t="shared" ca="1" si="167"/>
        <v>ID</v>
      </c>
      <c r="T1183" s="181" t="str">
        <f ca="1">IF(B1183="","",IF(ISERROR(MATCH($J1183,SorP!$B$1:$B$6226,0)),"",INDIRECT("'SorP'!$A$"&amp;MATCH($S1183&amp;$J1183,SorP!C:C,0))))</f>
        <v>ID-BB</v>
      </c>
      <c r="U1183" s="201"/>
      <c r="V1183" s="226">
        <f>IF(C1183="",NA(),IF(OR(C1183="Smelter not listed",C1183="Smelter not yet identified"),MATCH($B1183&amp;$D1183,'Smelter Look-up'!$J:$J,0),MATCH($B1183&amp;$C1183,'Smelter Look-up'!$J:$J,0)))</f>
        <v>533</v>
      </c>
      <c r="X1183" s="227">
        <f t="shared" si="168"/>
        <v>0</v>
      </c>
      <c r="AB1183" s="228" t="str">
        <f t="shared" si="169"/>
        <v>TinPT Timah Tbk Mentok</v>
      </c>
    </row>
    <row r="1184" spans="1:28" s="227" customFormat="1" ht="54">
      <c r="A1184" s="301" t="s">
        <v>776</v>
      </c>
      <c r="B1184" s="293" t="s">
        <v>1120</v>
      </c>
      <c r="C1184" s="294" t="s">
        <v>13778</v>
      </c>
      <c r="D1184" s="295" t="s">
        <v>13778</v>
      </c>
      <c r="E1184" s="293" t="s">
        <v>1095</v>
      </c>
      <c r="F1184" s="293" t="s">
        <v>776</v>
      </c>
      <c r="G1184" s="293" t="s">
        <v>13217</v>
      </c>
      <c r="H1184" s="296" t="s">
        <v>16853</v>
      </c>
      <c r="I1184" s="297" t="s">
        <v>1780</v>
      </c>
      <c r="J1184" s="297" t="s">
        <v>12830</v>
      </c>
      <c r="K1184" s="298" t="s">
        <v>16838</v>
      </c>
      <c r="L1184" s="298" t="s">
        <v>16839</v>
      </c>
      <c r="M1184" s="298" t="s">
        <v>16673</v>
      </c>
      <c r="N1184" s="298" t="s">
        <v>16854</v>
      </c>
      <c r="O1184" s="298" t="s">
        <v>16735</v>
      </c>
      <c r="P1184" s="299" t="s">
        <v>15857</v>
      </c>
      <c r="Q1184" s="300" t="s">
        <v>16611</v>
      </c>
      <c r="R1184" s="182" t="str">
        <f ca="1">IF(ISERROR($V1184),"",OFFSET('Smelter Look-up'!$C$4,$V1184-4,0)&amp;"")</f>
        <v>PT Timah Tbk Mentok</v>
      </c>
      <c r="S1184" s="181" t="str">
        <f t="shared" ca="1" si="167"/>
        <v>ID</v>
      </c>
      <c r="T1184" s="181" t="str">
        <f ca="1">IF(B1184="","",IF(ISERROR(MATCH($J1184,SorP!$B$1:$B$6226,0)),"",INDIRECT("'SorP'!$A$"&amp;MATCH($S1184&amp;$J1184,SorP!C:C,0))))</f>
        <v>ID-BB</v>
      </c>
      <c r="U1184" s="201"/>
      <c r="V1184" s="226">
        <f>IF(C1184="",NA(),IF(OR(C1184="Smelter not listed",C1184="Smelter not yet identified"),MATCH($B1184&amp;$D1184,'Smelter Look-up'!$J:$J,0),MATCH($B1184&amp;$C1184,'Smelter Look-up'!$J:$J,0)))</f>
        <v>533</v>
      </c>
      <c r="X1184" s="227">
        <f t="shared" si="168"/>
        <v>0</v>
      </c>
      <c r="AB1184" s="228" t="str">
        <f t="shared" si="169"/>
        <v>TinPT Timah Tbk Mentok</v>
      </c>
    </row>
    <row r="1185" spans="1:28" s="227" customFormat="1" ht="54">
      <c r="A1185" s="301" t="s">
        <v>776</v>
      </c>
      <c r="B1185" s="293" t="s">
        <v>1120</v>
      </c>
      <c r="C1185" s="294" t="s">
        <v>13778</v>
      </c>
      <c r="D1185" s="295" t="s">
        <v>13778</v>
      </c>
      <c r="E1185" s="293" t="s">
        <v>1095</v>
      </c>
      <c r="F1185" s="293" t="s">
        <v>776</v>
      </c>
      <c r="G1185" s="293" t="s">
        <v>13217</v>
      </c>
      <c r="H1185" s="296" t="s">
        <v>16845</v>
      </c>
      <c r="I1185" s="297" t="s">
        <v>1780</v>
      </c>
      <c r="J1185" s="297" t="s">
        <v>12830</v>
      </c>
      <c r="K1185" s="298" t="s">
        <v>16846</v>
      </c>
      <c r="L1185" s="298" t="s">
        <v>16847</v>
      </c>
      <c r="M1185" s="298" t="s">
        <v>16562</v>
      </c>
      <c r="N1185" s="298" t="s">
        <v>16856</v>
      </c>
      <c r="O1185" s="298" t="s">
        <v>16735</v>
      </c>
      <c r="P1185" s="299" t="s">
        <v>15857</v>
      </c>
      <c r="Q1185" s="300" t="s">
        <v>16849</v>
      </c>
      <c r="R1185" s="182" t="str">
        <f ca="1">IF(ISERROR($V1185),"",OFFSET('Smelter Look-up'!$C$4,$V1185-4,0)&amp;"")</f>
        <v>PT Timah Tbk Mentok</v>
      </c>
      <c r="S1185" s="181" t="str">
        <f t="shared" ca="1" si="167"/>
        <v>ID</v>
      </c>
      <c r="T1185" s="181" t="str">
        <f ca="1">IF(B1185="","",IF(ISERROR(MATCH($J1185,SorP!$B$1:$B$6226,0)),"",INDIRECT("'SorP'!$A$"&amp;MATCH($S1185&amp;$J1185,SorP!C:C,0))))</f>
        <v>ID-BB</v>
      </c>
      <c r="U1185" s="201"/>
      <c r="V1185" s="226">
        <f>IF(C1185="",NA(),IF(OR(C1185="Smelter not listed",C1185="Smelter not yet identified"),MATCH($B1185&amp;$D1185,'Smelter Look-up'!$J:$J,0),MATCH($B1185&amp;$C1185,'Smelter Look-up'!$J:$J,0)))</f>
        <v>533</v>
      </c>
      <c r="X1185" s="227">
        <f t="shared" si="168"/>
        <v>0</v>
      </c>
      <c r="AB1185" s="228" t="str">
        <f t="shared" si="169"/>
        <v>TinPT Timah Tbk Mentok</v>
      </c>
    </row>
    <row r="1186" spans="1:28" s="227" customFormat="1" ht="54">
      <c r="A1186" s="301" t="s">
        <v>776</v>
      </c>
      <c r="B1186" s="293" t="s">
        <v>1120</v>
      </c>
      <c r="C1186" s="294" t="s">
        <v>13778</v>
      </c>
      <c r="D1186" s="295" t="s">
        <v>13778</v>
      </c>
      <c r="E1186" s="293" t="s">
        <v>1095</v>
      </c>
      <c r="F1186" s="293" t="s">
        <v>776</v>
      </c>
      <c r="G1186" s="293" t="s">
        <v>13217</v>
      </c>
      <c r="H1186" s="296" t="s">
        <v>16857</v>
      </c>
      <c r="I1186" s="297" t="s">
        <v>1780</v>
      </c>
      <c r="J1186" s="297" t="s">
        <v>12830</v>
      </c>
      <c r="K1186" s="298" t="s">
        <v>16825</v>
      </c>
      <c r="L1186" s="298" t="s">
        <v>16211</v>
      </c>
      <c r="M1186" s="298" t="s">
        <v>15855</v>
      </c>
      <c r="N1186" s="298" t="s">
        <v>16540</v>
      </c>
      <c r="O1186" s="298" t="s">
        <v>16540</v>
      </c>
      <c r="P1186" s="299" t="s">
        <v>15857</v>
      </c>
      <c r="Q1186" s="300" t="s">
        <v>15855</v>
      </c>
      <c r="R1186" s="182" t="str">
        <f ca="1">IF(ISERROR($V1186),"",OFFSET('Smelter Look-up'!$C$4,$V1186-4,0)&amp;"")</f>
        <v>PT Timah Tbk Mentok</v>
      </c>
      <c r="S1186" s="181" t="str">
        <f t="shared" ca="1" si="167"/>
        <v>ID</v>
      </c>
      <c r="T1186" s="181" t="str">
        <f ca="1">IF(B1186="","",IF(ISERROR(MATCH($J1186,SorP!$B$1:$B$6226,0)),"",INDIRECT("'SorP'!$A$"&amp;MATCH($S1186&amp;$J1186,SorP!C:C,0))))</f>
        <v>ID-BB</v>
      </c>
      <c r="U1186" s="201"/>
      <c r="V1186" s="226">
        <f>IF(C1186="",NA(),IF(OR(C1186="Smelter not listed",C1186="Smelter not yet identified"),MATCH($B1186&amp;$D1186,'Smelter Look-up'!$J:$J,0),MATCH($B1186&amp;$C1186,'Smelter Look-up'!$J:$J,0)))</f>
        <v>533</v>
      </c>
      <c r="X1186" s="227">
        <f t="shared" si="168"/>
        <v>0</v>
      </c>
      <c r="AB1186" s="228" t="str">
        <f t="shared" si="169"/>
        <v>TinPT Timah Tbk Mentok</v>
      </c>
    </row>
    <row r="1187" spans="1:28" s="227" customFormat="1" ht="54">
      <c r="A1187" s="301" t="s">
        <v>776</v>
      </c>
      <c r="B1187" s="293" t="s">
        <v>1120</v>
      </c>
      <c r="C1187" s="294" t="s">
        <v>13778</v>
      </c>
      <c r="D1187" s="295" t="s">
        <v>13778</v>
      </c>
      <c r="E1187" s="293" t="s">
        <v>1095</v>
      </c>
      <c r="F1187" s="293" t="s">
        <v>776</v>
      </c>
      <c r="G1187" s="293" t="s">
        <v>13217</v>
      </c>
      <c r="H1187" s="296" t="s">
        <v>16858</v>
      </c>
      <c r="I1187" s="297" t="s">
        <v>1780</v>
      </c>
      <c r="J1187" s="297" t="s">
        <v>12830</v>
      </c>
      <c r="K1187" s="298" t="s">
        <v>16859</v>
      </c>
      <c r="L1187" s="298" t="s">
        <v>16860</v>
      </c>
      <c r="M1187" s="298" t="s">
        <v>15855</v>
      </c>
      <c r="N1187" s="298" t="s">
        <v>16852</v>
      </c>
      <c r="O1187" s="298" t="s">
        <v>16735</v>
      </c>
      <c r="P1187" s="299" t="s">
        <v>15857</v>
      </c>
      <c r="Q1187" s="300" t="s">
        <v>15855</v>
      </c>
      <c r="R1187" s="182" t="str">
        <f ca="1">IF(ISERROR($V1187),"",OFFSET('Smelter Look-up'!$C$4,$V1187-4,0)&amp;"")</f>
        <v>PT Timah Tbk Mentok</v>
      </c>
      <c r="S1187" s="181" t="str">
        <f t="shared" ca="1" si="167"/>
        <v>ID</v>
      </c>
      <c r="T1187" s="181" t="str">
        <f ca="1">IF(B1187="","",IF(ISERROR(MATCH($J1187,SorP!$B$1:$B$6226,0)),"",INDIRECT("'SorP'!$A$"&amp;MATCH($S1187&amp;$J1187,SorP!C:C,0))))</f>
        <v>ID-BB</v>
      </c>
      <c r="U1187" s="201"/>
      <c r="V1187" s="226">
        <f>IF(C1187="",NA(),IF(OR(C1187="Smelter not listed",C1187="Smelter not yet identified"),MATCH($B1187&amp;$D1187,'Smelter Look-up'!$J:$J,0),MATCH($B1187&amp;$C1187,'Smelter Look-up'!$J:$J,0)))</f>
        <v>533</v>
      </c>
      <c r="X1187" s="227">
        <f t="shared" si="168"/>
        <v>0</v>
      </c>
      <c r="AB1187" s="228" t="str">
        <f t="shared" si="169"/>
        <v>TinPT Timah Tbk Mentok</v>
      </c>
    </row>
    <row r="1188" spans="1:28" s="227" customFormat="1" ht="54">
      <c r="A1188" s="301" t="s">
        <v>776</v>
      </c>
      <c r="B1188" s="293" t="s">
        <v>1120</v>
      </c>
      <c r="C1188" s="294" t="s">
        <v>13778</v>
      </c>
      <c r="D1188" s="295" t="s">
        <v>13778</v>
      </c>
      <c r="E1188" s="293" t="s">
        <v>1095</v>
      </c>
      <c r="F1188" s="293" t="s">
        <v>776</v>
      </c>
      <c r="G1188" s="293" t="s">
        <v>13217</v>
      </c>
      <c r="H1188" s="296" t="s">
        <v>16858</v>
      </c>
      <c r="I1188" s="297" t="s">
        <v>1780</v>
      </c>
      <c r="J1188" s="297" t="s">
        <v>12830</v>
      </c>
      <c r="K1188" s="298" t="s">
        <v>16859</v>
      </c>
      <c r="L1188" s="298" t="s">
        <v>16860</v>
      </c>
      <c r="M1188" s="298" t="s">
        <v>16345</v>
      </c>
      <c r="N1188" s="298" t="s">
        <v>16540</v>
      </c>
      <c r="O1188" s="298" t="s">
        <v>16540</v>
      </c>
      <c r="P1188" s="299" t="s">
        <v>15857</v>
      </c>
      <c r="Q1188" s="300" t="s">
        <v>15855</v>
      </c>
      <c r="R1188" s="182" t="str">
        <f ca="1">IF(ISERROR($V1188),"",OFFSET('Smelter Look-up'!$C$4,$V1188-4,0)&amp;"")</f>
        <v>PT Timah Tbk Mentok</v>
      </c>
      <c r="S1188" s="181" t="str">
        <f t="shared" ca="1" si="167"/>
        <v>ID</v>
      </c>
      <c r="T1188" s="181" t="str">
        <f ca="1">IF(B1188="","",IF(ISERROR(MATCH($J1188,SorP!$B$1:$B$6226,0)),"",INDIRECT("'SorP'!$A$"&amp;MATCH($S1188&amp;$J1188,SorP!C:C,0))))</f>
        <v>ID-BB</v>
      </c>
      <c r="U1188" s="201"/>
      <c r="V1188" s="226">
        <f>IF(C1188="",NA(),IF(OR(C1188="Smelter not listed",C1188="Smelter not yet identified"),MATCH($B1188&amp;$D1188,'Smelter Look-up'!$J:$J,0),MATCH($B1188&amp;$C1188,'Smelter Look-up'!$J:$J,0)))</f>
        <v>533</v>
      </c>
      <c r="X1188" s="227">
        <f t="shared" si="168"/>
        <v>0</v>
      </c>
      <c r="AB1188" s="228" t="str">
        <f t="shared" si="169"/>
        <v>TinPT Timah Tbk Mentok</v>
      </c>
    </row>
    <row r="1189" spans="1:28" s="227" customFormat="1" ht="54">
      <c r="A1189" s="301" t="s">
        <v>15088</v>
      </c>
      <c r="B1189" s="293" t="s">
        <v>1120</v>
      </c>
      <c r="C1189" s="294" t="s">
        <v>15087</v>
      </c>
      <c r="D1189" s="295" t="s">
        <v>15087</v>
      </c>
      <c r="E1189" s="293" t="s">
        <v>1095</v>
      </c>
      <c r="F1189" s="293" t="s">
        <v>15088</v>
      </c>
      <c r="G1189" s="293" t="s">
        <v>15865</v>
      </c>
      <c r="H1189" s="296" t="s">
        <v>15855</v>
      </c>
      <c r="I1189" s="297" t="s">
        <v>15109</v>
      </c>
      <c r="J1189" s="297" t="s">
        <v>16738</v>
      </c>
      <c r="K1189" s="298" t="s">
        <v>15855</v>
      </c>
      <c r="L1189" s="298" t="s">
        <v>15855</v>
      </c>
      <c r="M1189" s="298" t="s">
        <v>15855</v>
      </c>
      <c r="N1189" s="298" t="s">
        <v>15855</v>
      </c>
      <c r="O1189" s="298" t="s">
        <v>15855</v>
      </c>
      <c r="P1189" s="299" t="s">
        <v>15857</v>
      </c>
      <c r="Q1189" s="300" t="s">
        <v>15855</v>
      </c>
      <c r="R1189" s="182" t="str">
        <f ca="1">IF(ISERROR($V1189),"",OFFSET('Smelter Look-up'!$C$4,$V1189-4,0)&amp;"")</f>
        <v>PT Tinindo Inter Nusa</v>
      </c>
      <c r="S1189" s="181" t="str">
        <f t="shared" ca="1" si="167"/>
        <v>ID</v>
      </c>
      <c r="T1189" s="181" t="str">
        <f ca="1">IF(B1189="","",IF(ISERROR(MATCH($J1189,SorP!$B$1:$B$6226,0)),"",INDIRECT("'SorP'!$A$"&amp;MATCH($S1189&amp;$J1189,SorP!C:C,0))))</f>
        <v/>
      </c>
      <c r="U1189" s="201"/>
      <c r="V1189" s="226">
        <f>IF(C1189="",NA(),IF(OR(C1189="Smelter not listed",C1189="Smelter not yet identified"),MATCH($B1189&amp;$D1189,'Smelter Look-up'!$J:$J,0),MATCH($B1189&amp;$C1189,'Smelter Look-up'!$J:$J,0)))</f>
        <v>534</v>
      </c>
      <c r="X1189" s="227">
        <f t="shared" si="168"/>
        <v>0</v>
      </c>
      <c r="AB1189" s="228" t="str">
        <f t="shared" si="169"/>
        <v>TinPT Tinindo Inter Nusa</v>
      </c>
    </row>
    <row r="1190" spans="1:28" s="227" customFormat="1" ht="54">
      <c r="A1190" s="301" t="s">
        <v>15088</v>
      </c>
      <c r="B1190" s="293" t="s">
        <v>1120</v>
      </c>
      <c r="C1190" s="294" t="s">
        <v>15087</v>
      </c>
      <c r="D1190" s="295" t="s">
        <v>15087</v>
      </c>
      <c r="E1190" s="293" t="s">
        <v>1095</v>
      </c>
      <c r="F1190" s="293" t="s">
        <v>15088</v>
      </c>
      <c r="G1190" s="293" t="s">
        <v>15865</v>
      </c>
      <c r="H1190" s="296" t="s">
        <v>15855</v>
      </c>
      <c r="I1190" s="297" t="s">
        <v>15109</v>
      </c>
      <c r="J1190" s="297" t="s">
        <v>16738</v>
      </c>
      <c r="K1190" s="298" t="s">
        <v>16861</v>
      </c>
      <c r="L1190" s="298" t="s">
        <v>16862</v>
      </c>
      <c r="M1190" s="298" t="s">
        <v>15855</v>
      </c>
      <c r="N1190" s="298" t="s">
        <v>16756</v>
      </c>
      <c r="O1190" s="298" t="s">
        <v>1095</v>
      </c>
      <c r="P1190" s="299" t="s">
        <v>15857</v>
      </c>
      <c r="Q1190" s="300" t="s">
        <v>15855</v>
      </c>
      <c r="R1190" s="182" t="str">
        <f ca="1">IF(ISERROR($V1190),"",OFFSET('Smelter Look-up'!$C$4,$V1190-4,0)&amp;"")</f>
        <v>PT Tinindo Inter Nusa</v>
      </c>
      <c r="S1190" s="181" t="str">
        <f t="shared" ca="1" si="167"/>
        <v>ID</v>
      </c>
      <c r="T1190" s="181" t="str">
        <f ca="1">IF(B1190="","",IF(ISERROR(MATCH($J1190,SorP!$B$1:$B$6226,0)),"",INDIRECT("'SorP'!$A$"&amp;MATCH($S1190&amp;$J1190,SorP!C:C,0))))</f>
        <v/>
      </c>
      <c r="U1190" s="201"/>
      <c r="V1190" s="226">
        <f>IF(C1190="",NA(),IF(OR(C1190="Smelter not listed",C1190="Smelter not yet identified"),MATCH($B1190&amp;$D1190,'Smelter Look-up'!$J:$J,0),MATCH($B1190&amp;$C1190,'Smelter Look-up'!$J:$J,0)))</f>
        <v>534</v>
      </c>
      <c r="X1190" s="227">
        <f t="shared" si="168"/>
        <v>0</v>
      </c>
      <c r="AB1190" s="228" t="str">
        <f t="shared" si="169"/>
        <v>TinPT Tinindo Inter Nusa</v>
      </c>
    </row>
    <row r="1191" spans="1:28" s="227" customFormat="1" ht="54">
      <c r="A1191" s="301" t="s">
        <v>15088</v>
      </c>
      <c r="B1191" s="293" t="s">
        <v>1120</v>
      </c>
      <c r="C1191" s="294" t="s">
        <v>15087</v>
      </c>
      <c r="D1191" s="295" t="s">
        <v>15087</v>
      </c>
      <c r="E1191" s="293" t="s">
        <v>1095</v>
      </c>
      <c r="F1191" s="293" t="s">
        <v>15088</v>
      </c>
      <c r="G1191" s="293" t="s">
        <v>13217</v>
      </c>
      <c r="H1191" s="296" t="s">
        <v>15855</v>
      </c>
      <c r="I1191" s="297" t="s">
        <v>15109</v>
      </c>
      <c r="J1191" s="297" t="s">
        <v>12830</v>
      </c>
      <c r="K1191" s="298" t="s">
        <v>15855</v>
      </c>
      <c r="L1191" s="298" t="s">
        <v>15855</v>
      </c>
      <c r="M1191" s="298" t="s">
        <v>15855</v>
      </c>
      <c r="N1191" s="298" t="s">
        <v>15855</v>
      </c>
      <c r="O1191" s="298" t="s">
        <v>15855</v>
      </c>
      <c r="P1191" s="299" t="s">
        <v>15857</v>
      </c>
      <c r="Q1191" s="300" t="s">
        <v>15855</v>
      </c>
      <c r="R1191" s="182" t="str">
        <f ca="1">IF(ISERROR($V1191),"",OFFSET('Smelter Look-up'!$C$4,$V1191-4,0)&amp;"")</f>
        <v>PT Tinindo Inter Nusa</v>
      </c>
      <c r="S1191" s="181" t="str">
        <f t="shared" ca="1" si="167"/>
        <v>ID</v>
      </c>
      <c r="T1191" s="181" t="str">
        <f ca="1">IF(B1191="","",IF(ISERROR(MATCH($J1191,SorP!$B$1:$B$6226,0)),"",INDIRECT("'SorP'!$A$"&amp;MATCH($S1191&amp;$J1191,SorP!C:C,0))))</f>
        <v>ID-BB</v>
      </c>
      <c r="U1191" s="201"/>
      <c r="V1191" s="226">
        <f>IF(C1191="",NA(),IF(OR(C1191="Smelter not listed",C1191="Smelter not yet identified"),MATCH($B1191&amp;$D1191,'Smelter Look-up'!$J:$J,0),MATCH($B1191&amp;$C1191,'Smelter Look-up'!$J:$J,0)))</f>
        <v>534</v>
      </c>
      <c r="X1191" s="227">
        <f t="shared" si="168"/>
        <v>0</v>
      </c>
      <c r="AB1191" s="228" t="str">
        <f t="shared" si="169"/>
        <v>TinPT Tinindo Inter Nusa</v>
      </c>
    </row>
    <row r="1192" spans="1:28" s="227" customFormat="1" ht="54">
      <c r="A1192" s="301" t="s">
        <v>15088</v>
      </c>
      <c r="B1192" s="293" t="s">
        <v>1120</v>
      </c>
      <c r="C1192" s="294" t="s">
        <v>15087</v>
      </c>
      <c r="D1192" s="295" t="s">
        <v>15087</v>
      </c>
      <c r="E1192" s="293" t="s">
        <v>1095</v>
      </c>
      <c r="F1192" s="293" t="s">
        <v>15088</v>
      </c>
      <c r="G1192" s="293" t="s">
        <v>13217</v>
      </c>
      <c r="H1192" s="296" t="s">
        <v>15855</v>
      </c>
      <c r="I1192" s="297" t="s">
        <v>15109</v>
      </c>
      <c r="J1192" s="297" t="s">
        <v>12830</v>
      </c>
      <c r="K1192" s="298" t="s">
        <v>15855</v>
      </c>
      <c r="L1192" s="298" t="s">
        <v>15855</v>
      </c>
      <c r="M1192" s="298" t="s">
        <v>15855</v>
      </c>
      <c r="N1192" s="298" t="s">
        <v>15855</v>
      </c>
      <c r="O1192" s="298" t="s">
        <v>15855</v>
      </c>
      <c r="P1192" s="299" t="s">
        <v>15857</v>
      </c>
      <c r="Q1192" s="300" t="s">
        <v>16531</v>
      </c>
      <c r="R1192" s="182" t="str">
        <f ca="1">IF(ISERROR($V1192),"",OFFSET('Smelter Look-up'!$C$4,$V1192-4,0)&amp;"")</f>
        <v>PT Tinindo Inter Nusa</v>
      </c>
      <c r="S1192" s="181" t="str">
        <f t="shared" ca="1" si="167"/>
        <v>ID</v>
      </c>
      <c r="T1192" s="181" t="str">
        <f ca="1">IF(B1192="","",IF(ISERROR(MATCH($J1192,SorP!$B$1:$B$6226,0)),"",INDIRECT("'SorP'!$A$"&amp;MATCH($S1192&amp;$J1192,SorP!C:C,0))))</f>
        <v>ID-BB</v>
      </c>
      <c r="U1192" s="201"/>
      <c r="V1192" s="226">
        <f>IF(C1192="",NA(),IF(OR(C1192="Smelter not listed",C1192="Smelter not yet identified"),MATCH($B1192&amp;$D1192,'Smelter Look-up'!$J:$J,0),MATCH($B1192&amp;$C1192,'Smelter Look-up'!$J:$J,0)))</f>
        <v>534</v>
      </c>
      <c r="X1192" s="227">
        <f t="shared" si="168"/>
        <v>0</v>
      </c>
      <c r="AB1192" s="228" t="str">
        <f t="shared" si="169"/>
        <v>TinPT Tinindo Inter Nusa</v>
      </c>
    </row>
    <row r="1193" spans="1:28" s="227" customFormat="1" ht="54">
      <c r="A1193" s="301" t="s">
        <v>15088</v>
      </c>
      <c r="B1193" s="293" t="s">
        <v>1120</v>
      </c>
      <c r="C1193" s="294" t="s">
        <v>15087</v>
      </c>
      <c r="D1193" s="295" t="s">
        <v>15087</v>
      </c>
      <c r="E1193" s="293" t="s">
        <v>1095</v>
      </c>
      <c r="F1193" s="293" t="s">
        <v>15088</v>
      </c>
      <c r="G1193" s="293" t="s">
        <v>13217</v>
      </c>
      <c r="H1193" s="296" t="s">
        <v>15855</v>
      </c>
      <c r="I1193" s="297" t="s">
        <v>15109</v>
      </c>
      <c r="J1193" s="297" t="s">
        <v>12830</v>
      </c>
      <c r="K1193" s="298" t="s">
        <v>15855</v>
      </c>
      <c r="L1193" s="298" t="s">
        <v>15855</v>
      </c>
      <c r="M1193" s="298" t="s">
        <v>15855</v>
      </c>
      <c r="N1193" s="298" t="s">
        <v>15855</v>
      </c>
      <c r="O1193" s="298" t="s">
        <v>15858</v>
      </c>
      <c r="P1193" s="299" t="s">
        <v>15857</v>
      </c>
      <c r="Q1193" s="300" t="s">
        <v>15855</v>
      </c>
      <c r="R1193" s="182" t="str">
        <f ca="1">IF(ISERROR($V1193),"",OFFSET('Smelter Look-up'!$C$4,$V1193-4,0)&amp;"")</f>
        <v>PT Tinindo Inter Nusa</v>
      </c>
      <c r="S1193" s="181" t="str">
        <f t="shared" ca="1" si="167"/>
        <v>ID</v>
      </c>
      <c r="T1193" s="181" t="str">
        <f ca="1">IF(B1193="","",IF(ISERROR(MATCH($J1193,SorP!$B$1:$B$6226,0)),"",INDIRECT("'SorP'!$A$"&amp;MATCH($S1193&amp;$J1193,SorP!C:C,0))))</f>
        <v>ID-BB</v>
      </c>
      <c r="U1193" s="201"/>
      <c r="V1193" s="226">
        <f>IF(C1193="",NA(),IF(OR(C1193="Smelter not listed",C1193="Smelter not yet identified"),MATCH($B1193&amp;$D1193,'Smelter Look-up'!$J:$J,0),MATCH($B1193&amp;$C1193,'Smelter Look-up'!$J:$J,0)))</f>
        <v>534</v>
      </c>
      <c r="X1193" s="227">
        <f t="shared" si="168"/>
        <v>0</v>
      </c>
      <c r="AB1193" s="228" t="str">
        <f t="shared" si="169"/>
        <v>TinPT Tinindo Inter Nusa</v>
      </c>
    </row>
    <row r="1194" spans="1:28" s="227" customFormat="1" ht="54">
      <c r="A1194" s="301" t="s">
        <v>15088</v>
      </c>
      <c r="B1194" s="293" t="s">
        <v>1120</v>
      </c>
      <c r="C1194" s="294" t="s">
        <v>15087</v>
      </c>
      <c r="D1194" s="295" t="s">
        <v>15087</v>
      </c>
      <c r="E1194" s="293" t="s">
        <v>1095</v>
      </c>
      <c r="F1194" s="293" t="s">
        <v>15088</v>
      </c>
      <c r="G1194" s="293" t="s">
        <v>13217</v>
      </c>
      <c r="H1194" s="296" t="s">
        <v>15855</v>
      </c>
      <c r="I1194" s="297" t="s">
        <v>15109</v>
      </c>
      <c r="J1194" s="297" t="s">
        <v>12830</v>
      </c>
      <c r="K1194" s="298" t="s">
        <v>16863</v>
      </c>
      <c r="L1194" s="298" t="s">
        <v>16864</v>
      </c>
      <c r="M1194" s="298" t="s">
        <v>15869</v>
      </c>
      <c r="N1194" s="298" t="s">
        <v>15862</v>
      </c>
      <c r="O1194" s="298" t="s">
        <v>16456</v>
      </c>
      <c r="P1194" s="299" t="s">
        <v>15857</v>
      </c>
      <c r="Q1194" s="300" t="s">
        <v>15855</v>
      </c>
      <c r="R1194" s="182" t="str">
        <f ca="1">IF(ISERROR($V1194),"",OFFSET('Smelter Look-up'!$C$4,$V1194-4,0)&amp;"")</f>
        <v>PT Tinindo Inter Nusa</v>
      </c>
      <c r="S1194" s="181" t="str">
        <f t="shared" ca="1" si="167"/>
        <v>ID</v>
      </c>
      <c r="T1194" s="181" t="str">
        <f ca="1">IF(B1194="","",IF(ISERROR(MATCH($J1194,SorP!$B$1:$B$6226,0)),"",INDIRECT("'SorP'!$A$"&amp;MATCH($S1194&amp;$J1194,SorP!C:C,0))))</f>
        <v>ID-BB</v>
      </c>
      <c r="U1194" s="201"/>
      <c r="V1194" s="226">
        <f>IF(C1194="",NA(),IF(OR(C1194="Smelter not listed",C1194="Smelter not yet identified"),MATCH($B1194&amp;$D1194,'Smelter Look-up'!$J:$J,0),MATCH($B1194&amp;$C1194,'Smelter Look-up'!$J:$J,0)))</f>
        <v>534</v>
      </c>
      <c r="X1194" s="227">
        <f t="shared" si="168"/>
        <v>0</v>
      </c>
      <c r="AB1194" s="228" t="str">
        <f t="shared" si="169"/>
        <v>TinPT Tinindo Inter Nusa</v>
      </c>
    </row>
    <row r="1195" spans="1:28" s="227" customFormat="1" ht="54">
      <c r="A1195" s="301" t="s">
        <v>15088</v>
      </c>
      <c r="B1195" s="293" t="s">
        <v>1120</v>
      </c>
      <c r="C1195" s="294" t="s">
        <v>15087</v>
      </c>
      <c r="D1195" s="295" t="s">
        <v>15087</v>
      </c>
      <c r="E1195" s="293" t="s">
        <v>1095</v>
      </c>
      <c r="F1195" s="293" t="s">
        <v>15088</v>
      </c>
      <c r="G1195" s="293" t="s">
        <v>13217</v>
      </c>
      <c r="H1195" s="302" t="s">
        <v>15880</v>
      </c>
      <c r="I1195" s="297" t="s">
        <v>15109</v>
      </c>
      <c r="J1195" s="297" t="s">
        <v>12830</v>
      </c>
      <c r="K1195" s="298" t="s">
        <v>15855</v>
      </c>
      <c r="L1195" s="298" t="s">
        <v>15855</v>
      </c>
      <c r="M1195" s="298" t="s">
        <v>15855</v>
      </c>
      <c r="N1195" s="298" t="s">
        <v>15855</v>
      </c>
      <c r="O1195" s="298" t="s">
        <v>15855</v>
      </c>
      <c r="P1195" s="299" t="s">
        <v>15857</v>
      </c>
      <c r="Q1195" s="300" t="s">
        <v>15855</v>
      </c>
      <c r="R1195" s="182" t="str">
        <f ca="1">IF(ISERROR($V1195),"",OFFSET('Smelter Look-up'!$C$4,$V1195-4,0)&amp;"")</f>
        <v>PT Tinindo Inter Nusa</v>
      </c>
      <c r="S1195" s="181" t="str">
        <f t="shared" ca="1" si="167"/>
        <v>ID</v>
      </c>
      <c r="T1195" s="181" t="str">
        <f ca="1">IF(B1195="","",IF(ISERROR(MATCH($J1195,SorP!$B$1:$B$6226,0)),"",INDIRECT("'SorP'!$A$"&amp;MATCH($S1195&amp;$J1195,SorP!C:C,0))))</f>
        <v>ID-BB</v>
      </c>
      <c r="U1195" s="201"/>
      <c r="V1195" s="226">
        <f>IF(C1195="",NA(),IF(OR(C1195="Smelter not listed",C1195="Smelter not yet identified"),MATCH($B1195&amp;$D1195,'Smelter Look-up'!$J:$J,0),MATCH($B1195&amp;$C1195,'Smelter Look-up'!$J:$J,0)))</f>
        <v>534</v>
      </c>
      <c r="X1195" s="227">
        <f t="shared" si="168"/>
        <v>0</v>
      </c>
      <c r="AB1195" s="228" t="str">
        <f t="shared" si="169"/>
        <v>TinPT Tinindo Inter Nusa</v>
      </c>
    </row>
    <row r="1196" spans="1:28" s="227" customFormat="1" ht="54">
      <c r="A1196" s="301" t="s">
        <v>15088</v>
      </c>
      <c r="B1196" s="293" t="s">
        <v>1120</v>
      </c>
      <c r="C1196" s="294" t="s">
        <v>15087</v>
      </c>
      <c r="D1196" s="295" t="s">
        <v>15087</v>
      </c>
      <c r="E1196" s="293" t="s">
        <v>1095</v>
      </c>
      <c r="F1196" s="293" t="s">
        <v>15088</v>
      </c>
      <c r="G1196" s="293" t="s">
        <v>13217</v>
      </c>
      <c r="H1196" s="296" t="s">
        <v>16865</v>
      </c>
      <c r="I1196" s="297" t="s">
        <v>15109</v>
      </c>
      <c r="J1196" s="297" t="s">
        <v>12830</v>
      </c>
      <c r="K1196" s="298" t="s">
        <v>16866</v>
      </c>
      <c r="L1196" s="298" t="s">
        <v>16867</v>
      </c>
      <c r="M1196" s="298" t="s">
        <v>16673</v>
      </c>
      <c r="N1196" s="298" t="s">
        <v>15855</v>
      </c>
      <c r="O1196" s="298" t="s">
        <v>1095</v>
      </c>
      <c r="P1196" s="299" t="s">
        <v>15857</v>
      </c>
      <c r="Q1196" s="300" t="s">
        <v>16611</v>
      </c>
      <c r="R1196" s="182" t="str">
        <f ca="1">IF(ISERROR($V1196),"",OFFSET('Smelter Look-up'!$C$4,$V1196-4,0)&amp;"")</f>
        <v>PT Tinindo Inter Nusa</v>
      </c>
      <c r="S1196" s="181" t="str">
        <f t="shared" ca="1" si="167"/>
        <v>ID</v>
      </c>
      <c r="T1196" s="181" t="str">
        <f ca="1">IF(B1196="","",IF(ISERROR(MATCH($J1196,SorP!$B$1:$B$6226,0)),"",INDIRECT("'SorP'!$A$"&amp;MATCH($S1196&amp;$J1196,SorP!C:C,0))))</f>
        <v>ID-BB</v>
      </c>
      <c r="U1196" s="201"/>
      <c r="V1196" s="226">
        <f>IF(C1196="",NA(),IF(OR(C1196="Smelter not listed",C1196="Smelter not yet identified"),MATCH($B1196&amp;$D1196,'Smelter Look-up'!$J:$J,0),MATCH($B1196&amp;$C1196,'Smelter Look-up'!$J:$J,0)))</f>
        <v>534</v>
      </c>
      <c r="X1196" s="227">
        <f t="shared" si="168"/>
        <v>0</v>
      </c>
      <c r="AB1196" s="228" t="str">
        <f t="shared" si="169"/>
        <v>TinPT Tinindo Inter Nusa</v>
      </c>
    </row>
    <row r="1197" spans="1:28" s="227" customFormat="1" ht="54">
      <c r="A1197" s="301" t="s">
        <v>15460</v>
      </c>
      <c r="B1197" s="293" t="s">
        <v>1120</v>
      </c>
      <c r="C1197" s="294" t="s">
        <v>15459</v>
      </c>
      <c r="D1197" s="295" t="s">
        <v>15459</v>
      </c>
      <c r="E1197" s="293" t="s">
        <v>1095</v>
      </c>
      <c r="F1197" s="293" t="s">
        <v>15460</v>
      </c>
      <c r="G1197" s="293" t="s">
        <v>13217</v>
      </c>
      <c r="H1197" s="296" t="s">
        <v>15855</v>
      </c>
      <c r="I1197" s="297" t="s">
        <v>15461</v>
      </c>
      <c r="J1197" s="297" t="s">
        <v>5975</v>
      </c>
      <c r="K1197" s="298" t="s">
        <v>15855</v>
      </c>
      <c r="L1197" s="298" t="s">
        <v>15855</v>
      </c>
      <c r="M1197" s="298" t="s">
        <v>15855</v>
      </c>
      <c r="N1197" s="298" t="s">
        <v>15855</v>
      </c>
      <c r="O1197" s="298" t="s">
        <v>15858</v>
      </c>
      <c r="P1197" s="299" t="s">
        <v>15857</v>
      </c>
      <c r="Q1197" s="300" t="s">
        <v>15855</v>
      </c>
      <c r="R1197" s="182" t="str">
        <f ca="1">IF(ISERROR($V1197),"",OFFSET('Smelter Look-up'!$C$4,$V1197-4,0)&amp;"")</f>
        <v>PT Tirus Putra Mandiri</v>
      </c>
      <c r="S1197" s="181" t="str">
        <f t="shared" ca="1" si="167"/>
        <v>ID</v>
      </c>
      <c r="T1197" s="181" t="str">
        <f ca="1">IF(B1197="","",IF(ISERROR(MATCH($J1197,SorP!$B$1:$B$6226,0)),"",INDIRECT("'SorP'!$A$"&amp;MATCH($S1197&amp;$J1197,SorP!C:C,0))))</f>
        <v>ID-JB</v>
      </c>
      <c r="U1197" s="201"/>
      <c r="V1197" s="226">
        <f>IF(C1197="",NA(),IF(OR(C1197="Smelter not listed",C1197="Smelter not yet identified"),MATCH($B1197&amp;$D1197,'Smelter Look-up'!$J:$J,0),MATCH($B1197&amp;$C1197,'Smelter Look-up'!$J:$J,0)))</f>
        <v>535</v>
      </c>
      <c r="X1197" s="227">
        <f t="shared" si="168"/>
        <v>0</v>
      </c>
      <c r="AB1197" s="228" t="str">
        <f t="shared" si="169"/>
        <v>TinPT Tirus Putra Mandiri</v>
      </c>
    </row>
    <row r="1198" spans="1:28" s="227" customFormat="1" ht="40.5">
      <c r="A1198" s="301" t="s">
        <v>15463</v>
      </c>
      <c r="B1198" s="293" t="s">
        <v>1120</v>
      </c>
      <c r="C1198" s="294" t="s">
        <v>15462</v>
      </c>
      <c r="D1198" s="295" t="s">
        <v>15462</v>
      </c>
      <c r="E1198" s="293" t="s">
        <v>1095</v>
      </c>
      <c r="F1198" s="293" t="s">
        <v>15463</v>
      </c>
      <c r="G1198" s="293" t="s">
        <v>13217</v>
      </c>
      <c r="H1198" s="296" t="s">
        <v>15855</v>
      </c>
      <c r="I1198" s="297" t="s">
        <v>15464</v>
      </c>
      <c r="J1198" s="297" t="s">
        <v>12830</v>
      </c>
      <c r="K1198" s="298" t="s">
        <v>15855</v>
      </c>
      <c r="L1198" s="298" t="s">
        <v>15855</v>
      </c>
      <c r="M1198" s="298" t="s">
        <v>15855</v>
      </c>
      <c r="N1198" s="298" t="s">
        <v>15855</v>
      </c>
      <c r="O1198" s="298" t="s">
        <v>15855</v>
      </c>
      <c r="P1198" s="299" t="s">
        <v>15857</v>
      </c>
      <c r="Q1198" s="300" t="s">
        <v>15855</v>
      </c>
      <c r="R1198" s="182" t="str">
        <f ca="1">IF(ISERROR($V1198),"",OFFSET('Smelter Look-up'!$C$4,$V1198-4,0)&amp;"")</f>
        <v>PT Tommy Utama</v>
      </c>
      <c r="S1198" s="181" t="str">
        <f t="shared" ca="1" si="167"/>
        <v>ID</v>
      </c>
      <c r="T1198" s="181" t="str">
        <f ca="1">IF(B1198="","",IF(ISERROR(MATCH($J1198,SorP!$B$1:$B$6226,0)),"",INDIRECT("'SorP'!$A$"&amp;MATCH($S1198&amp;$J1198,SorP!C:C,0))))</f>
        <v>ID-BB</v>
      </c>
      <c r="U1198" s="201"/>
      <c r="V1198" s="226">
        <f>IF(C1198="",NA(),IF(OR(C1198="Smelter not listed",C1198="Smelter not yet identified"),MATCH($B1198&amp;$D1198,'Smelter Look-up'!$J:$J,0),MATCH($B1198&amp;$C1198,'Smelter Look-up'!$J:$J,0)))</f>
        <v>536</v>
      </c>
      <c r="X1198" s="227">
        <f t="shared" si="168"/>
        <v>0</v>
      </c>
      <c r="AB1198" s="228" t="str">
        <f t="shared" si="169"/>
        <v>TinPT Tommy Utama</v>
      </c>
    </row>
    <row r="1199" spans="1:28" s="227" customFormat="1" ht="40.5">
      <c r="A1199" s="301" t="s">
        <v>15463</v>
      </c>
      <c r="B1199" s="293" t="s">
        <v>1120</v>
      </c>
      <c r="C1199" s="294" t="s">
        <v>15462</v>
      </c>
      <c r="D1199" s="295" t="s">
        <v>15462</v>
      </c>
      <c r="E1199" s="293" t="s">
        <v>1095</v>
      </c>
      <c r="F1199" s="293" t="s">
        <v>15463</v>
      </c>
      <c r="G1199" s="293" t="s">
        <v>13217</v>
      </c>
      <c r="H1199" s="296" t="s">
        <v>15855</v>
      </c>
      <c r="I1199" s="297" t="s">
        <v>15464</v>
      </c>
      <c r="J1199" s="297" t="s">
        <v>12830</v>
      </c>
      <c r="K1199" s="298" t="s">
        <v>15855</v>
      </c>
      <c r="L1199" s="298" t="s">
        <v>15855</v>
      </c>
      <c r="M1199" s="298" t="s">
        <v>15855</v>
      </c>
      <c r="N1199" s="298" t="s">
        <v>15855</v>
      </c>
      <c r="O1199" s="298" t="s">
        <v>15855</v>
      </c>
      <c r="P1199" s="299" t="s">
        <v>15857</v>
      </c>
      <c r="Q1199" s="300" t="s">
        <v>16531</v>
      </c>
      <c r="R1199" s="182" t="str">
        <f ca="1">IF(ISERROR($V1199),"",OFFSET('Smelter Look-up'!$C$4,$V1199-4,0)&amp;"")</f>
        <v>PT Tommy Utama</v>
      </c>
      <c r="S1199" s="181" t="str">
        <f t="shared" ca="1" si="167"/>
        <v>ID</v>
      </c>
      <c r="T1199" s="181" t="str">
        <f ca="1">IF(B1199="","",IF(ISERROR(MATCH($J1199,SorP!$B$1:$B$6226,0)),"",INDIRECT("'SorP'!$A$"&amp;MATCH($S1199&amp;$J1199,SorP!C:C,0))))</f>
        <v>ID-BB</v>
      </c>
      <c r="U1199" s="201"/>
      <c r="V1199" s="226">
        <f>IF(C1199="",NA(),IF(OR(C1199="Smelter not listed",C1199="Smelter not yet identified"),MATCH($B1199&amp;$D1199,'Smelter Look-up'!$J:$J,0),MATCH($B1199&amp;$C1199,'Smelter Look-up'!$J:$J,0)))</f>
        <v>536</v>
      </c>
      <c r="X1199" s="227">
        <f t="shared" si="168"/>
        <v>0</v>
      </c>
      <c r="AB1199" s="228" t="str">
        <f t="shared" si="169"/>
        <v>TinPT Tommy Utama</v>
      </c>
    </row>
    <row r="1200" spans="1:28" s="227" customFormat="1" ht="40.5">
      <c r="A1200" s="301" t="s">
        <v>15463</v>
      </c>
      <c r="B1200" s="293" t="s">
        <v>1120</v>
      </c>
      <c r="C1200" s="294" t="s">
        <v>15462</v>
      </c>
      <c r="D1200" s="295" t="s">
        <v>15462</v>
      </c>
      <c r="E1200" s="293" t="s">
        <v>1095</v>
      </c>
      <c r="F1200" s="293" t="s">
        <v>15463</v>
      </c>
      <c r="G1200" s="293" t="s">
        <v>13217</v>
      </c>
      <c r="H1200" s="296" t="s">
        <v>15855</v>
      </c>
      <c r="I1200" s="297" t="s">
        <v>15464</v>
      </c>
      <c r="J1200" s="297" t="s">
        <v>12830</v>
      </c>
      <c r="K1200" s="298" t="s">
        <v>15855</v>
      </c>
      <c r="L1200" s="298" t="s">
        <v>15855</v>
      </c>
      <c r="M1200" s="298" t="s">
        <v>15855</v>
      </c>
      <c r="N1200" s="298" t="s">
        <v>15855</v>
      </c>
      <c r="O1200" s="298" t="s">
        <v>15858</v>
      </c>
      <c r="P1200" s="299" t="s">
        <v>15857</v>
      </c>
      <c r="Q1200" s="300" t="s">
        <v>15855</v>
      </c>
      <c r="R1200" s="182" t="str">
        <f ca="1">IF(ISERROR($V1200),"",OFFSET('Smelter Look-up'!$C$4,$V1200-4,0)&amp;"")</f>
        <v>PT Tommy Utama</v>
      </c>
      <c r="S1200" s="181" t="str">
        <f t="shared" ca="1" si="167"/>
        <v>ID</v>
      </c>
      <c r="T1200" s="181" t="str">
        <f ca="1">IF(B1200="","",IF(ISERROR(MATCH($J1200,SorP!$B$1:$B$6226,0)),"",INDIRECT("'SorP'!$A$"&amp;MATCH($S1200&amp;$J1200,SorP!C:C,0))))</f>
        <v>ID-BB</v>
      </c>
      <c r="U1200" s="201"/>
      <c r="V1200" s="226">
        <f>IF(C1200="",NA(),IF(OR(C1200="Smelter not listed",C1200="Smelter not yet identified"),MATCH($B1200&amp;$D1200,'Smelter Look-up'!$J:$J,0),MATCH($B1200&amp;$C1200,'Smelter Look-up'!$J:$J,0)))</f>
        <v>536</v>
      </c>
      <c r="X1200" s="227">
        <f t="shared" si="168"/>
        <v>0</v>
      </c>
      <c r="AB1200" s="228" t="str">
        <f t="shared" si="169"/>
        <v>TinPT Tommy Utama</v>
      </c>
    </row>
    <row r="1201" spans="1:28" s="227" customFormat="1" ht="40.5">
      <c r="A1201" s="301" t="s">
        <v>15463</v>
      </c>
      <c r="B1201" s="293" t="s">
        <v>1120</v>
      </c>
      <c r="C1201" s="294" t="s">
        <v>15462</v>
      </c>
      <c r="D1201" s="295" t="s">
        <v>15462</v>
      </c>
      <c r="E1201" s="293" t="s">
        <v>1095</v>
      </c>
      <c r="F1201" s="293" t="s">
        <v>15463</v>
      </c>
      <c r="G1201" s="293" t="s">
        <v>13217</v>
      </c>
      <c r="H1201" s="302" t="s">
        <v>15880</v>
      </c>
      <c r="I1201" s="297" t="s">
        <v>15464</v>
      </c>
      <c r="J1201" s="297" t="s">
        <v>12830</v>
      </c>
      <c r="K1201" s="298" t="s">
        <v>15855</v>
      </c>
      <c r="L1201" s="298" t="s">
        <v>15855</v>
      </c>
      <c r="M1201" s="298" t="s">
        <v>15855</v>
      </c>
      <c r="N1201" s="298" t="s">
        <v>15855</v>
      </c>
      <c r="O1201" s="298" t="s">
        <v>15855</v>
      </c>
      <c r="P1201" s="299" t="s">
        <v>15857</v>
      </c>
      <c r="Q1201" s="300" t="s">
        <v>15855</v>
      </c>
      <c r="R1201" s="182" t="str">
        <f ca="1">IF(ISERROR($V1201),"",OFFSET('Smelter Look-up'!$C$4,$V1201-4,0)&amp;"")</f>
        <v>PT Tommy Utama</v>
      </c>
      <c r="S1201" s="181" t="str">
        <f t="shared" ca="1" si="167"/>
        <v>ID</v>
      </c>
      <c r="T1201" s="181" t="str">
        <f ca="1">IF(B1201="","",IF(ISERROR(MATCH($J1201,SorP!$B$1:$B$6226,0)),"",INDIRECT("'SorP'!$A$"&amp;MATCH($S1201&amp;$J1201,SorP!C:C,0))))</f>
        <v>ID-BB</v>
      </c>
      <c r="U1201" s="201"/>
      <c r="V1201" s="226">
        <f>IF(C1201="",NA(),IF(OR(C1201="Smelter not listed",C1201="Smelter not yet identified"),MATCH($B1201&amp;$D1201,'Smelter Look-up'!$J:$J,0),MATCH($B1201&amp;$C1201,'Smelter Look-up'!$J:$J,0)))</f>
        <v>536</v>
      </c>
      <c r="X1201" s="227">
        <f t="shared" si="168"/>
        <v>0</v>
      </c>
      <c r="AB1201" s="228" t="str">
        <f t="shared" si="169"/>
        <v>TinPT Tommy Utama</v>
      </c>
    </row>
    <row r="1202" spans="1:28" s="227" customFormat="1" ht="81">
      <c r="A1202" s="301" t="s">
        <v>1800</v>
      </c>
      <c r="B1202" s="293" t="s">
        <v>1120</v>
      </c>
      <c r="C1202" s="294" t="s">
        <v>12412</v>
      </c>
      <c r="D1202" s="295" t="s">
        <v>12412</v>
      </c>
      <c r="E1202" s="293" t="s">
        <v>1086</v>
      </c>
      <c r="F1202" s="293" t="s">
        <v>1800</v>
      </c>
      <c r="G1202" s="293" t="s">
        <v>13217</v>
      </c>
      <c r="H1202" s="296" t="s">
        <v>15855</v>
      </c>
      <c r="I1202" s="297" t="s">
        <v>1709</v>
      </c>
      <c r="J1202" s="297" t="s">
        <v>1744</v>
      </c>
      <c r="K1202" s="298" t="s">
        <v>15855</v>
      </c>
      <c r="L1202" s="298" t="s">
        <v>15855</v>
      </c>
      <c r="M1202" s="298" t="s">
        <v>15855</v>
      </c>
      <c r="N1202" s="298" t="s">
        <v>15855</v>
      </c>
      <c r="O1202" s="298" t="s">
        <v>15855</v>
      </c>
      <c r="P1202" s="299" t="s">
        <v>15857</v>
      </c>
      <c r="Q1202" s="300" t="s">
        <v>15855</v>
      </c>
      <c r="R1202" s="182" t="str">
        <f ca="1">IF(ISERROR($V1202),"",OFFSET('Smelter Look-up'!$C$4,$V1202-4,0)&amp;"")</f>
        <v>Resind Industria e Comercio Ltda.</v>
      </c>
      <c r="S1202" s="181" t="str">
        <f t="shared" ca="1" si="167"/>
        <v>BR</v>
      </c>
      <c r="T1202" s="181" t="str">
        <f ca="1">IF(B1202="","",IF(ISERROR(MATCH($J1202,SorP!$B$1:$B$6226,0)),"",INDIRECT("'SorP'!$A$"&amp;MATCH($S1202&amp;$J1202,SorP!C:C,0))))</f>
        <v>BR-MG</v>
      </c>
      <c r="U1202" s="201"/>
      <c r="V1202" s="226">
        <f>IF(C1202="",NA(),IF(OR(C1202="Smelter not listed",C1202="Smelter not yet identified"),MATCH($B1202&amp;$D1202,'Smelter Look-up'!$J:$J,0),MATCH($B1202&amp;$C1202,'Smelter Look-up'!$J:$J,0)))</f>
        <v>538</v>
      </c>
      <c r="X1202" s="227">
        <f t="shared" si="168"/>
        <v>0</v>
      </c>
      <c r="AB1202" s="228" t="str">
        <f t="shared" si="169"/>
        <v>TinResind Industria e Comercio Ltda.</v>
      </c>
    </row>
    <row r="1203" spans="1:28" s="227" customFormat="1" ht="81">
      <c r="A1203" s="301" t="s">
        <v>1800</v>
      </c>
      <c r="B1203" s="293" t="s">
        <v>1120</v>
      </c>
      <c r="C1203" s="294" t="s">
        <v>12412</v>
      </c>
      <c r="D1203" s="295" t="s">
        <v>12412</v>
      </c>
      <c r="E1203" s="293" t="s">
        <v>1086</v>
      </c>
      <c r="F1203" s="293" t="s">
        <v>1800</v>
      </c>
      <c r="G1203" s="293" t="s">
        <v>13217</v>
      </c>
      <c r="H1203" s="296" t="s">
        <v>15855</v>
      </c>
      <c r="I1203" s="297" t="s">
        <v>1709</v>
      </c>
      <c r="J1203" s="297" t="s">
        <v>1744</v>
      </c>
      <c r="K1203" s="298" t="s">
        <v>15855</v>
      </c>
      <c r="L1203" s="298" t="s">
        <v>15855</v>
      </c>
      <c r="M1203" s="298" t="s">
        <v>15855</v>
      </c>
      <c r="N1203" s="298" t="s">
        <v>15855</v>
      </c>
      <c r="O1203" s="298" t="s">
        <v>15858</v>
      </c>
      <c r="P1203" s="299" t="s">
        <v>15857</v>
      </c>
      <c r="Q1203" s="300" t="s">
        <v>15855</v>
      </c>
      <c r="R1203" s="182" t="str">
        <f ca="1">IF(ISERROR($V1203),"",OFFSET('Smelter Look-up'!$C$4,$V1203-4,0)&amp;"")</f>
        <v>Resind Industria e Comercio Ltda.</v>
      </c>
      <c r="S1203" s="181" t="str">
        <f t="shared" ca="1" si="167"/>
        <v>BR</v>
      </c>
      <c r="T1203" s="181" t="str">
        <f ca="1">IF(B1203="","",IF(ISERROR(MATCH($J1203,SorP!$B$1:$B$6226,0)),"",INDIRECT("'SorP'!$A$"&amp;MATCH($S1203&amp;$J1203,SorP!C:C,0))))</f>
        <v>BR-MG</v>
      </c>
      <c r="U1203" s="201"/>
      <c r="V1203" s="226">
        <f>IF(C1203="",NA(),IF(OR(C1203="Smelter not listed",C1203="Smelter not yet identified"),MATCH($B1203&amp;$D1203,'Smelter Look-up'!$J:$J,0),MATCH($B1203&amp;$C1203,'Smelter Look-up'!$J:$J,0)))</f>
        <v>538</v>
      </c>
      <c r="X1203" s="227">
        <f t="shared" si="168"/>
        <v>0</v>
      </c>
      <c r="AB1203" s="228" t="str">
        <f t="shared" si="169"/>
        <v>TinResind Industria e Comercio Ltda.</v>
      </c>
    </row>
    <row r="1204" spans="1:28" s="227" customFormat="1" ht="81">
      <c r="A1204" s="301" t="s">
        <v>1800</v>
      </c>
      <c r="B1204" s="293" t="s">
        <v>1120</v>
      </c>
      <c r="C1204" s="294" t="s">
        <v>12412</v>
      </c>
      <c r="D1204" s="295" t="s">
        <v>12412</v>
      </c>
      <c r="E1204" s="293" t="s">
        <v>1086</v>
      </c>
      <c r="F1204" s="293" t="s">
        <v>1800</v>
      </c>
      <c r="G1204" s="293" t="s">
        <v>13217</v>
      </c>
      <c r="H1204" s="296" t="s">
        <v>15855</v>
      </c>
      <c r="I1204" s="297" t="s">
        <v>1709</v>
      </c>
      <c r="J1204" s="297" t="s">
        <v>1744</v>
      </c>
      <c r="K1204" s="298" t="s">
        <v>16479</v>
      </c>
      <c r="L1204" s="298" t="s">
        <v>16480</v>
      </c>
      <c r="M1204" s="298" t="s">
        <v>16481</v>
      </c>
      <c r="N1204" s="298" t="s">
        <v>15862</v>
      </c>
      <c r="O1204" s="298" t="s">
        <v>16729</v>
      </c>
      <c r="P1204" s="299" t="s">
        <v>15857</v>
      </c>
      <c r="Q1204" s="300" t="s">
        <v>15855</v>
      </c>
      <c r="R1204" s="182" t="str">
        <f ca="1">IF(ISERROR($V1204),"",OFFSET('Smelter Look-up'!$C$4,$V1204-4,0)&amp;"")</f>
        <v>Resind Industria e Comercio Ltda.</v>
      </c>
      <c r="S1204" s="181" t="str">
        <f t="shared" ca="1" si="167"/>
        <v>BR</v>
      </c>
      <c r="T1204" s="181" t="str">
        <f ca="1">IF(B1204="","",IF(ISERROR(MATCH($J1204,SorP!$B$1:$B$6226,0)),"",INDIRECT("'SorP'!$A$"&amp;MATCH($S1204&amp;$J1204,SorP!C:C,0))))</f>
        <v>BR-MG</v>
      </c>
      <c r="U1204" s="201"/>
      <c r="V1204" s="226">
        <f>IF(C1204="",NA(),IF(OR(C1204="Smelter not listed",C1204="Smelter not yet identified"),MATCH($B1204&amp;$D1204,'Smelter Look-up'!$J:$J,0),MATCH($B1204&amp;$C1204,'Smelter Look-up'!$J:$J,0)))</f>
        <v>538</v>
      </c>
      <c r="X1204" s="227">
        <f t="shared" si="168"/>
        <v>0</v>
      </c>
      <c r="AB1204" s="228" t="str">
        <f t="shared" si="169"/>
        <v>TinResind Industria e Comercio Ltda.</v>
      </c>
    </row>
    <row r="1205" spans="1:28" s="227" customFormat="1" ht="81">
      <c r="A1205" s="301" t="s">
        <v>1800</v>
      </c>
      <c r="B1205" s="293" t="s">
        <v>1120</v>
      </c>
      <c r="C1205" s="294" t="s">
        <v>12412</v>
      </c>
      <c r="D1205" s="295" t="s">
        <v>12412</v>
      </c>
      <c r="E1205" s="293" t="s">
        <v>1086</v>
      </c>
      <c r="F1205" s="293" t="s">
        <v>1800</v>
      </c>
      <c r="G1205" s="293" t="s">
        <v>13217</v>
      </c>
      <c r="H1205" s="302" t="s">
        <v>15880</v>
      </c>
      <c r="I1205" s="297" t="s">
        <v>1709</v>
      </c>
      <c r="J1205" s="297" t="s">
        <v>1744</v>
      </c>
      <c r="K1205" s="298" t="s">
        <v>15855</v>
      </c>
      <c r="L1205" s="298" t="s">
        <v>15855</v>
      </c>
      <c r="M1205" s="298" t="s">
        <v>15855</v>
      </c>
      <c r="N1205" s="298" t="s">
        <v>15855</v>
      </c>
      <c r="O1205" s="298" t="s">
        <v>15855</v>
      </c>
      <c r="P1205" s="299" t="s">
        <v>15857</v>
      </c>
      <c r="Q1205" s="300" t="s">
        <v>15855</v>
      </c>
      <c r="R1205" s="182" t="str">
        <f ca="1">IF(ISERROR($V1205),"",OFFSET('Smelter Look-up'!$C$4,$V1205-4,0)&amp;"")</f>
        <v>Resind Industria e Comercio Ltda.</v>
      </c>
      <c r="S1205" s="181" t="str">
        <f t="shared" ca="1" si="167"/>
        <v>BR</v>
      </c>
      <c r="T1205" s="181" t="str">
        <f ca="1">IF(B1205="","",IF(ISERROR(MATCH($J1205,SorP!$B$1:$B$6226,0)),"",INDIRECT("'SorP'!$A$"&amp;MATCH($S1205&amp;$J1205,SorP!C:C,0))))</f>
        <v>BR-MG</v>
      </c>
      <c r="U1205" s="201"/>
      <c r="V1205" s="226">
        <f>IF(C1205="",NA(),IF(OR(C1205="Smelter not listed",C1205="Smelter not yet identified"),MATCH($B1205&amp;$D1205,'Smelter Look-up'!$J:$J,0),MATCH($B1205&amp;$C1205,'Smelter Look-up'!$J:$J,0)))</f>
        <v>538</v>
      </c>
      <c r="X1205" s="227">
        <f t="shared" si="168"/>
        <v>0</v>
      </c>
      <c r="AB1205" s="228" t="str">
        <f t="shared" si="169"/>
        <v>TinResind Industria e Comercio Ltda.</v>
      </c>
    </row>
    <row r="1206" spans="1:28" s="227" customFormat="1" ht="27">
      <c r="A1206" s="301" t="s">
        <v>778</v>
      </c>
      <c r="B1206" s="293" t="s">
        <v>1120</v>
      </c>
      <c r="C1206" s="294" t="s">
        <v>777</v>
      </c>
      <c r="D1206" s="295" t="s">
        <v>777</v>
      </c>
      <c r="E1206" s="293" t="s">
        <v>2414</v>
      </c>
      <c r="F1206" s="293" t="s">
        <v>778</v>
      </c>
      <c r="G1206" s="293" t="s">
        <v>13217</v>
      </c>
      <c r="H1206" s="296" t="s">
        <v>15855</v>
      </c>
      <c r="I1206" s="297" t="s">
        <v>13804</v>
      </c>
      <c r="J1206" s="297" t="s">
        <v>1691</v>
      </c>
      <c r="K1206" s="298" t="s">
        <v>15855</v>
      </c>
      <c r="L1206" s="298" t="s">
        <v>15855</v>
      </c>
      <c r="M1206" s="298" t="s">
        <v>15855</v>
      </c>
      <c r="N1206" s="298" t="s">
        <v>15855</v>
      </c>
      <c r="O1206" s="298" t="s">
        <v>15855</v>
      </c>
      <c r="P1206" s="299" t="s">
        <v>15857</v>
      </c>
      <c r="Q1206" s="300" t="s">
        <v>15855</v>
      </c>
      <c r="R1206" s="182" t="str">
        <f ca="1">IF(ISERROR($V1206),"",OFFSET('Smelter Look-up'!$C$4,$V1206-4,0)&amp;"")</f>
        <v>Rui Da Hung</v>
      </c>
      <c r="S1206" s="181" t="str">
        <f t="shared" ca="1" si="167"/>
        <v>TW</v>
      </c>
      <c r="T1206" s="181" t="str">
        <f ca="1">IF(B1206="","",IF(ISERROR(MATCH($J1206,SorP!$B$1:$B$6226,0)),"",INDIRECT("'SorP'!$A$"&amp;MATCH($S1206&amp;$J1206,SorP!C:C,0))))</f>
        <v>TW-TAO</v>
      </c>
      <c r="U1206" s="201"/>
      <c r="V1206" s="226">
        <f>IF(C1206="",NA(),IF(OR(C1206="Smelter not listed",C1206="Smelter not yet identified"),MATCH($B1206&amp;$D1206,'Smelter Look-up'!$J:$J,0),MATCH($B1206&amp;$C1206,'Smelter Look-up'!$J:$J,0)))</f>
        <v>541</v>
      </c>
      <c r="X1206" s="227">
        <f t="shared" si="168"/>
        <v>0</v>
      </c>
      <c r="AB1206" s="228" t="str">
        <f t="shared" si="169"/>
        <v>TinRui Da Hung</v>
      </c>
    </row>
    <row r="1207" spans="1:28" s="227" customFormat="1" ht="27">
      <c r="A1207" s="301" t="s">
        <v>778</v>
      </c>
      <c r="B1207" s="293" t="s">
        <v>1120</v>
      </c>
      <c r="C1207" s="294" t="s">
        <v>777</v>
      </c>
      <c r="D1207" s="295" t="s">
        <v>777</v>
      </c>
      <c r="E1207" s="293" t="s">
        <v>2414</v>
      </c>
      <c r="F1207" s="293" t="s">
        <v>778</v>
      </c>
      <c r="G1207" s="293" t="s">
        <v>13217</v>
      </c>
      <c r="H1207" s="296" t="s">
        <v>15855</v>
      </c>
      <c r="I1207" s="297" t="s">
        <v>13804</v>
      </c>
      <c r="J1207" s="297" t="s">
        <v>1691</v>
      </c>
      <c r="K1207" s="298" t="s">
        <v>15855</v>
      </c>
      <c r="L1207" s="298" t="s">
        <v>15855</v>
      </c>
      <c r="M1207" s="298" t="s">
        <v>15855</v>
      </c>
      <c r="N1207" s="298" t="s">
        <v>15855</v>
      </c>
      <c r="O1207" s="298" t="s">
        <v>15855</v>
      </c>
      <c r="P1207" s="299" t="s">
        <v>15857</v>
      </c>
      <c r="Q1207" s="300" t="s">
        <v>16531</v>
      </c>
      <c r="R1207" s="182" t="str">
        <f ca="1">IF(ISERROR($V1207),"",OFFSET('Smelter Look-up'!$C$4,$V1207-4,0)&amp;"")</f>
        <v>Rui Da Hung</v>
      </c>
      <c r="S1207" s="181" t="str">
        <f t="shared" ca="1" si="167"/>
        <v>TW</v>
      </c>
      <c r="T1207" s="181" t="str">
        <f ca="1">IF(B1207="","",IF(ISERROR(MATCH($J1207,SorP!$B$1:$B$6226,0)),"",INDIRECT("'SorP'!$A$"&amp;MATCH($S1207&amp;$J1207,SorP!C:C,0))))</f>
        <v>TW-TAO</v>
      </c>
      <c r="U1207" s="201"/>
      <c r="V1207" s="226">
        <f>IF(C1207="",NA(),IF(OR(C1207="Smelter not listed",C1207="Smelter not yet identified"),MATCH($B1207&amp;$D1207,'Smelter Look-up'!$J:$J,0),MATCH($B1207&amp;$C1207,'Smelter Look-up'!$J:$J,0)))</f>
        <v>541</v>
      </c>
      <c r="X1207" s="227">
        <f t="shared" si="168"/>
        <v>0</v>
      </c>
      <c r="AB1207" s="228" t="str">
        <f t="shared" si="169"/>
        <v>TinRui Da Hung</v>
      </c>
    </row>
    <row r="1208" spans="1:28" s="227" customFormat="1" ht="27">
      <c r="A1208" s="301" t="s">
        <v>778</v>
      </c>
      <c r="B1208" s="293" t="s">
        <v>1120</v>
      </c>
      <c r="C1208" s="294" t="s">
        <v>777</v>
      </c>
      <c r="D1208" s="295" t="s">
        <v>777</v>
      </c>
      <c r="E1208" s="293" t="s">
        <v>2414</v>
      </c>
      <c r="F1208" s="293" t="s">
        <v>778</v>
      </c>
      <c r="G1208" s="293" t="s">
        <v>13217</v>
      </c>
      <c r="H1208" s="296" t="s">
        <v>15855</v>
      </c>
      <c r="I1208" s="297" t="s">
        <v>13804</v>
      </c>
      <c r="J1208" s="297" t="s">
        <v>1691</v>
      </c>
      <c r="K1208" s="298" t="s">
        <v>15855</v>
      </c>
      <c r="L1208" s="298" t="s">
        <v>15855</v>
      </c>
      <c r="M1208" s="298" t="s">
        <v>15855</v>
      </c>
      <c r="N1208" s="298" t="s">
        <v>15855</v>
      </c>
      <c r="O1208" s="298" t="s">
        <v>15855</v>
      </c>
      <c r="P1208" s="299" t="s">
        <v>15875</v>
      </c>
      <c r="Q1208" s="300" t="s">
        <v>15855</v>
      </c>
      <c r="R1208" s="182" t="str">
        <f ca="1">IF(ISERROR($V1208),"",OFFSET('Smelter Look-up'!$C$4,$V1208-4,0)&amp;"")</f>
        <v>Rui Da Hung</v>
      </c>
      <c r="S1208" s="181" t="str">
        <f t="shared" ca="1" si="167"/>
        <v>TW</v>
      </c>
      <c r="T1208" s="181" t="str">
        <f ca="1">IF(B1208="","",IF(ISERROR(MATCH($J1208,SorP!$B$1:$B$6226,0)),"",INDIRECT("'SorP'!$A$"&amp;MATCH($S1208&amp;$J1208,SorP!C:C,0))))</f>
        <v>TW-TAO</v>
      </c>
      <c r="U1208" s="201"/>
      <c r="V1208" s="226">
        <f>IF(C1208="",NA(),IF(OR(C1208="Smelter not listed",C1208="Smelter not yet identified"),MATCH($B1208&amp;$D1208,'Smelter Look-up'!$J:$J,0),MATCH($B1208&amp;$C1208,'Smelter Look-up'!$J:$J,0)))</f>
        <v>541</v>
      </c>
      <c r="X1208" s="227">
        <f t="shared" si="168"/>
        <v>0</v>
      </c>
      <c r="AB1208" s="228" t="str">
        <f t="shared" si="169"/>
        <v>TinRui Da Hung</v>
      </c>
    </row>
    <row r="1209" spans="1:28" s="227" customFormat="1" ht="27">
      <c r="A1209" s="301" t="s">
        <v>778</v>
      </c>
      <c r="B1209" s="293" t="s">
        <v>1120</v>
      </c>
      <c r="C1209" s="294" t="s">
        <v>777</v>
      </c>
      <c r="D1209" s="295" t="s">
        <v>777</v>
      </c>
      <c r="E1209" s="293" t="s">
        <v>2414</v>
      </c>
      <c r="F1209" s="293" t="s">
        <v>778</v>
      </c>
      <c r="G1209" s="293" t="s">
        <v>13217</v>
      </c>
      <c r="H1209" s="296" t="s">
        <v>15855</v>
      </c>
      <c r="I1209" s="297" t="s">
        <v>13804</v>
      </c>
      <c r="J1209" s="297" t="s">
        <v>1691</v>
      </c>
      <c r="K1209" s="298" t="s">
        <v>15855</v>
      </c>
      <c r="L1209" s="298" t="s">
        <v>15855</v>
      </c>
      <c r="M1209" s="298" t="s">
        <v>15855</v>
      </c>
      <c r="N1209" s="298" t="s">
        <v>15855</v>
      </c>
      <c r="O1209" s="298" t="s">
        <v>16868</v>
      </c>
      <c r="P1209" s="299" t="s">
        <v>15857</v>
      </c>
      <c r="Q1209" s="300" t="s">
        <v>15855</v>
      </c>
      <c r="R1209" s="182" t="str">
        <f ca="1">IF(ISERROR($V1209),"",OFFSET('Smelter Look-up'!$C$4,$V1209-4,0)&amp;"")</f>
        <v>Rui Da Hung</v>
      </c>
      <c r="S1209" s="181" t="str">
        <f t="shared" ca="1" si="167"/>
        <v>TW</v>
      </c>
      <c r="T1209" s="181" t="str">
        <f ca="1">IF(B1209="","",IF(ISERROR(MATCH($J1209,SorP!$B$1:$B$6226,0)),"",INDIRECT("'SorP'!$A$"&amp;MATCH($S1209&amp;$J1209,SorP!C:C,0))))</f>
        <v>TW-TAO</v>
      </c>
      <c r="U1209" s="201"/>
      <c r="V1209" s="226">
        <f>IF(C1209="",NA(),IF(OR(C1209="Smelter not listed",C1209="Smelter not yet identified"),MATCH($B1209&amp;$D1209,'Smelter Look-up'!$J:$J,0),MATCH($B1209&amp;$C1209,'Smelter Look-up'!$J:$J,0)))</f>
        <v>541</v>
      </c>
      <c r="X1209" s="227">
        <f t="shared" si="168"/>
        <v>0</v>
      </c>
      <c r="AB1209" s="228" t="str">
        <f t="shared" si="169"/>
        <v>TinRui Da Hung</v>
      </c>
    </row>
    <row r="1210" spans="1:28" s="227" customFormat="1" ht="27">
      <c r="A1210" s="301" t="s">
        <v>778</v>
      </c>
      <c r="B1210" s="293" t="s">
        <v>1120</v>
      </c>
      <c r="C1210" s="294" t="s">
        <v>777</v>
      </c>
      <c r="D1210" s="295" t="s">
        <v>777</v>
      </c>
      <c r="E1210" s="293" t="s">
        <v>2414</v>
      </c>
      <c r="F1210" s="293" t="s">
        <v>778</v>
      </c>
      <c r="G1210" s="293" t="s">
        <v>13217</v>
      </c>
      <c r="H1210" s="296" t="s">
        <v>15855</v>
      </c>
      <c r="I1210" s="297" t="s">
        <v>13804</v>
      </c>
      <c r="J1210" s="297" t="s">
        <v>1691</v>
      </c>
      <c r="K1210" s="298" t="s">
        <v>16869</v>
      </c>
      <c r="L1210" s="298" t="s">
        <v>16870</v>
      </c>
      <c r="M1210" s="298" t="s">
        <v>15869</v>
      </c>
      <c r="N1210" s="298" t="s">
        <v>15862</v>
      </c>
      <c r="O1210" s="298" t="s">
        <v>16616</v>
      </c>
      <c r="P1210" s="299" t="s">
        <v>15857</v>
      </c>
      <c r="Q1210" s="300" t="s">
        <v>15855</v>
      </c>
      <c r="R1210" s="182" t="str">
        <f ca="1">IF(ISERROR($V1210),"",OFFSET('Smelter Look-up'!$C$4,$V1210-4,0)&amp;"")</f>
        <v>Rui Da Hung</v>
      </c>
      <c r="S1210" s="181" t="str">
        <f t="shared" ca="1" si="167"/>
        <v>TW</v>
      </c>
      <c r="T1210" s="181" t="str">
        <f ca="1">IF(B1210="","",IF(ISERROR(MATCH($J1210,SorP!$B$1:$B$6226,0)),"",INDIRECT("'SorP'!$A$"&amp;MATCH($S1210&amp;$J1210,SorP!C:C,0))))</f>
        <v>TW-TAO</v>
      </c>
      <c r="U1210" s="201"/>
      <c r="V1210" s="226">
        <f>IF(C1210="",NA(),IF(OR(C1210="Smelter not listed",C1210="Smelter not yet identified"),MATCH($B1210&amp;$D1210,'Smelter Look-up'!$J:$J,0),MATCH($B1210&amp;$C1210,'Smelter Look-up'!$J:$J,0)))</f>
        <v>541</v>
      </c>
      <c r="X1210" s="227">
        <f t="shared" si="168"/>
        <v>0</v>
      </c>
      <c r="AB1210" s="228" t="str">
        <f t="shared" si="169"/>
        <v>TinRui Da Hung</v>
      </c>
    </row>
    <row r="1211" spans="1:28" s="227" customFormat="1" ht="27">
      <c r="A1211" s="301" t="s">
        <v>778</v>
      </c>
      <c r="B1211" s="293" t="s">
        <v>1120</v>
      </c>
      <c r="C1211" s="294" t="s">
        <v>777</v>
      </c>
      <c r="D1211" s="295" t="s">
        <v>777</v>
      </c>
      <c r="E1211" s="293" t="s">
        <v>2414</v>
      </c>
      <c r="F1211" s="293" t="s">
        <v>778</v>
      </c>
      <c r="G1211" s="293" t="s">
        <v>13217</v>
      </c>
      <c r="H1211" s="302" t="s">
        <v>15880</v>
      </c>
      <c r="I1211" s="297" t="s">
        <v>13804</v>
      </c>
      <c r="J1211" s="297" t="s">
        <v>1691</v>
      </c>
      <c r="K1211" s="298" t="s">
        <v>15855</v>
      </c>
      <c r="L1211" s="298" t="s">
        <v>15855</v>
      </c>
      <c r="M1211" s="298" t="s">
        <v>15855</v>
      </c>
      <c r="N1211" s="298" t="s">
        <v>15855</v>
      </c>
      <c r="O1211" s="298" t="s">
        <v>15855</v>
      </c>
      <c r="P1211" s="299" t="s">
        <v>15857</v>
      </c>
      <c r="Q1211" s="300" t="s">
        <v>15855</v>
      </c>
      <c r="R1211" s="182" t="str">
        <f ca="1">IF(ISERROR($V1211),"",OFFSET('Smelter Look-up'!$C$4,$V1211-4,0)&amp;"")</f>
        <v>Rui Da Hung</v>
      </c>
      <c r="S1211" s="181" t="str">
        <f t="shared" ref="S1211" ca="1" si="170">IF(B1211="","",IF(ISERROR(MATCH($E1211,CL,0)),"Unknown",INDIRECT("'C'!$A$"&amp;MATCH($E1211,CL,0)+1)))</f>
        <v>TW</v>
      </c>
      <c r="T1211" s="181" t="str">
        <f ca="1">IF(B1211="","",IF(ISERROR(MATCH($J1211,SorP!$B$1:$B$6226,0)),"",INDIRECT("'SorP'!$A$"&amp;MATCH($S1211&amp;$J1211,SorP!C:C,0))))</f>
        <v>TW-TAO</v>
      </c>
      <c r="U1211" s="201"/>
      <c r="V1211" s="226">
        <f>IF(C1211="",NA(),IF(OR(C1211="Smelter not listed",C1211="Smelter not yet identified"),MATCH($B1211&amp;$D1211,'Smelter Look-up'!$J:$J,0),MATCH($B1211&amp;$C1211,'Smelter Look-up'!$J:$J,0)))</f>
        <v>541</v>
      </c>
      <c r="X1211" s="227">
        <f t="shared" ref="X1211" si="171">IF(AND(C1211="Smelter not listed",OR(LEN(D1211)=0,LEN(E1211)=0)),1,0)</f>
        <v>0</v>
      </c>
      <c r="AB1211" s="228" t="str">
        <f t="shared" ref="AB1211" si="172">B1211&amp;C1211</f>
        <v>TinRui Da Hung</v>
      </c>
    </row>
    <row r="1212" spans="1:28" s="227" customFormat="1" ht="27">
      <c r="A1212" s="301" t="s">
        <v>778</v>
      </c>
      <c r="B1212" s="293" t="s">
        <v>1120</v>
      </c>
      <c r="C1212" s="294" t="s">
        <v>777</v>
      </c>
      <c r="D1212" s="295" t="s">
        <v>777</v>
      </c>
      <c r="E1212" s="293" t="s">
        <v>2414</v>
      </c>
      <c r="F1212" s="293" t="s">
        <v>778</v>
      </c>
      <c r="G1212" s="293" t="s">
        <v>13217</v>
      </c>
      <c r="H1212" s="302" t="s">
        <v>15880</v>
      </c>
      <c r="I1212" s="297" t="s">
        <v>13804</v>
      </c>
      <c r="J1212" s="297" t="s">
        <v>1691</v>
      </c>
      <c r="K1212" s="298" t="s">
        <v>15855</v>
      </c>
      <c r="L1212" s="298" t="s">
        <v>15855</v>
      </c>
      <c r="M1212" s="298" t="s">
        <v>15855</v>
      </c>
      <c r="N1212" s="298" t="s">
        <v>16871</v>
      </c>
      <c r="O1212" s="298" t="s">
        <v>16872</v>
      </c>
      <c r="P1212" s="299" t="s">
        <v>15857</v>
      </c>
      <c r="Q1212" s="300" t="s">
        <v>15855</v>
      </c>
      <c r="R1212" s="182" t="str">
        <f ca="1">IF(ISERROR($V1212),"",OFFSET('Smelter Look-up'!$C$4,$V1212-4,0)&amp;"")</f>
        <v>Rui Da Hung</v>
      </c>
      <c r="S1212" s="181" t="str">
        <f t="shared" ref="S1212:S1243" ca="1" si="173">IF(B1212="","",IF(ISERROR(MATCH($E1212,CL,0)),"Unknown",INDIRECT("'C'!$A$"&amp;MATCH($E1212,CL,0)+1)))</f>
        <v>TW</v>
      </c>
      <c r="T1212" s="181" t="str">
        <f ca="1">IF(B1212="","",IF(ISERROR(MATCH($J1212,SorP!$B$1:$B$6226,0)),"",INDIRECT("'SorP'!$A$"&amp;MATCH($S1212&amp;$J1212,SorP!C:C,0))))</f>
        <v>TW-TAO</v>
      </c>
      <c r="U1212" s="201"/>
      <c r="V1212" s="226">
        <f>IF(C1212="",NA(),IF(OR(C1212="Smelter not listed",C1212="Smelter not yet identified"),MATCH($B1212&amp;$D1212,'Smelter Look-up'!$J:$J,0),MATCH($B1212&amp;$C1212,'Smelter Look-up'!$J:$J,0)))</f>
        <v>541</v>
      </c>
      <c r="X1212" s="227">
        <f t="shared" ref="X1212:X1243" si="174">IF(AND(C1212="Smelter not listed",OR(LEN(D1212)=0,LEN(E1212)=0)),1,0)</f>
        <v>0</v>
      </c>
      <c r="AB1212" s="228" t="str">
        <f t="shared" ref="AB1212:AB1243" si="175">B1212&amp;C1212</f>
        <v>TinRui Da Hung</v>
      </c>
    </row>
    <row r="1213" spans="1:28" s="227" customFormat="1" ht="40.5">
      <c r="A1213" s="301" t="s">
        <v>16873</v>
      </c>
      <c r="B1213" s="293" t="s">
        <v>1120</v>
      </c>
      <c r="C1213" s="294" t="s">
        <v>16874</v>
      </c>
      <c r="D1213" s="295" t="s">
        <v>16874</v>
      </c>
      <c r="E1213" s="293" t="s">
        <v>1086</v>
      </c>
      <c r="F1213" s="293" t="s">
        <v>16873</v>
      </c>
      <c r="G1213" s="293" t="s">
        <v>13217</v>
      </c>
      <c r="H1213" s="296" t="s">
        <v>15855</v>
      </c>
      <c r="I1213" s="297" t="s">
        <v>16875</v>
      </c>
      <c r="J1213" s="297" t="s">
        <v>1666</v>
      </c>
      <c r="K1213" s="298" t="s">
        <v>15855</v>
      </c>
      <c r="L1213" s="298" t="s">
        <v>15855</v>
      </c>
      <c r="M1213" s="298" t="s">
        <v>15855</v>
      </c>
      <c r="N1213" s="298" t="s">
        <v>15855</v>
      </c>
      <c r="O1213" s="298" t="s">
        <v>15855</v>
      </c>
      <c r="P1213" s="299" t="s">
        <v>15857</v>
      </c>
      <c r="Q1213" s="300" t="s">
        <v>15855</v>
      </c>
      <c r="R1213" s="182" t="str">
        <f ca="1">IF(ISERROR($V1213),"",OFFSET('Smelter Look-up'!$C$4,$V1213-4,0)&amp;"")</f>
        <v/>
      </c>
      <c r="S1213" s="181" t="str">
        <f t="shared" ca="1" si="173"/>
        <v>BR</v>
      </c>
      <c r="T1213" s="181" t="str">
        <f ca="1">IF(B1213="","",IF(ISERROR(MATCH($J1213,SorP!$B$1:$B$6226,0)),"",INDIRECT("'SorP'!$A$"&amp;MATCH($S1213&amp;$J1213,SorP!C:C,0))))</f>
        <v>BR-SP</v>
      </c>
      <c r="U1213" s="201"/>
      <c r="V1213" s="226" t="e">
        <f>IF(C1213="",NA(),IF(OR(C1213="Smelter not listed",C1213="Smelter not yet identified"),MATCH($B1213&amp;$D1213,'Smelter Look-up'!$J:$J,0),MATCH($B1213&amp;$C1213,'Smelter Look-up'!$J:$J,0)))</f>
        <v>#N/A</v>
      </c>
      <c r="X1213" s="227">
        <f t="shared" si="174"/>
        <v>0</v>
      </c>
      <c r="AB1213" s="228" t="str">
        <f t="shared" si="175"/>
        <v>TinSoft Metais Ltda.</v>
      </c>
    </row>
    <row r="1214" spans="1:28" s="227" customFormat="1" ht="40.5">
      <c r="A1214" s="301" t="s">
        <v>16873</v>
      </c>
      <c r="B1214" s="293" t="s">
        <v>1120</v>
      </c>
      <c r="C1214" s="294" t="s">
        <v>16874</v>
      </c>
      <c r="D1214" s="295" t="s">
        <v>16874</v>
      </c>
      <c r="E1214" s="293" t="s">
        <v>1086</v>
      </c>
      <c r="F1214" s="293" t="s">
        <v>16873</v>
      </c>
      <c r="G1214" s="293" t="s">
        <v>13217</v>
      </c>
      <c r="H1214" s="296" t="s">
        <v>15855</v>
      </c>
      <c r="I1214" s="297" t="s">
        <v>16875</v>
      </c>
      <c r="J1214" s="297" t="s">
        <v>1666</v>
      </c>
      <c r="K1214" s="298" t="s">
        <v>16876</v>
      </c>
      <c r="L1214" s="298" t="s">
        <v>16877</v>
      </c>
      <c r="M1214" s="298" t="s">
        <v>15892</v>
      </c>
      <c r="N1214" s="298" t="s">
        <v>15870</v>
      </c>
      <c r="O1214" s="298" t="s">
        <v>16558</v>
      </c>
      <c r="P1214" s="299" t="s">
        <v>15857</v>
      </c>
      <c r="Q1214" s="300" t="s">
        <v>15855</v>
      </c>
      <c r="R1214" s="182" t="str">
        <f ca="1">IF(ISERROR($V1214),"",OFFSET('Smelter Look-up'!$C$4,$V1214-4,0)&amp;"")</f>
        <v/>
      </c>
      <c r="S1214" s="181" t="str">
        <f t="shared" ca="1" si="173"/>
        <v>BR</v>
      </c>
      <c r="T1214" s="181" t="str">
        <f ca="1">IF(B1214="","",IF(ISERROR(MATCH($J1214,SorP!$B$1:$B$6226,0)),"",INDIRECT("'SorP'!$A$"&amp;MATCH($S1214&amp;$J1214,SorP!C:C,0))))</f>
        <v>BR-SP</v>
      </c>
      <c r="U1214" s="201"/>
      <c r="V1214" s="226" t="e">
        <f>IF(C1214="",NA(),IF(OR(C1214="Smelter not listed",C1214="Smelter not yet identified"),MATCH($B1214&amp;$D1214,'Smelter Look-up'!$J:$J,0),MATCH($B1214&amp;$C1214,'Smelter Look-up'!$J:$J,0)))</f>
        <v>#N/A</v>
      </c>
      <c r="X1214" s="227">
        <f t="shared" si="174"/>
        <v>0</v>
      </c>
      <c r="AB1214" s="228" t="str">
        <f t="shared" si="175"/>
        <v>TinSoft Metais Ltda.</v>
      </c>
    </row>
    <row r="1215" spans="1:28" s="227" customFormat="1" ht="40.5">
      <c r="A1215" s="301" t="s">
        <v>16873</v>
      </c>
      <c r="B1215" s="293" t="s">
        <v>1120</v>
      </c>
      <c r="C1215" s="294" t="s">
        <v>16874</v>
      </c>
      <c r="D1215" s="295" t="s">
        <v>16874</v>
      </c>
      <c r="E1215" s="293" t="s">
        <v>1086</v>
      </c>
      <c r="F1215" s="293" t="s">
        <v>16873</v>
      </c>
      <c r="G1215" s="293" t="s">
        <v>13217</v>
      </c>
      <c r="H1215" s="302" t="s">
        <v>15880</v>
      </c>
      <c r="I1215" s="297" t="s">
        <v>16875</v>
      </c>
      <c r="J1215" s="297" t="s">
        <v>1666</v>
      </c>
      <c r="K1215" s="298" t="s">
        <v>15855</v>
      </c>
      <c r="L1215" s="298" t="s">
        <v>15855</v>
      </c>
      <c r="M1215" s="298" t="s">
        <v>15855</v>
      </c>
      <c r="N1215" s="298" t="s">
        <v>15855</v>
      </c>
      <c r="O1215" s="298" t="s">
        <v>15855</v>
      </c>
      <c r="P1215" s="299" t="s">
        <v>15857</v>
      </c>
      <c r="Q1215" s="300" t="s">
        <v>15855</v>
      </c>
      <c r="R1215" s="182" t="str">
        <f ca="1">IF(ISERROR($V1215),"",OFFSET('Smelter Look-up'!$C$4,$V1215-4,0)&amp;"")</f>
        <v/>
      </c>
      <c r="S1215" s="181" t="str">
        <f t="shared" ca="1" si="173"/>
        <v>BR</v>
      </c>
      <c r="T1215" s="181" t="str">
        <f ca="1">IF(B1215="","",IF(ISERROR(MATCH($J1215,SorP!$B$1:$B$6226,0)),"",INDIRECT("'SorP'!$A$"&amp;MATCH($S1215&amp;$J1215,SorP!C:C,0))))</f>
        <v>BR-SP</v>
      </c>
      <c r="U1215" s="201"/>
      <c r="V1215" s="226" t="e">
        <f>IF(C1215="",NA(),IF(OR(C1215="Smelter not listed",C1215="Smelter not yet identified"),MATCH($B1215&amp;$D1215,'Smelter Look-up'!$J:$J,0),MATCH($B1215&amp;$C1215,'Smelter Look-up'!$J:$J,0)))</f>
        <v>#N/A</v>
      </c>
      <c r="X1215" s="227">
        <f t="shared" si="174"/>
        <v>0</v>
      </c>
      <c r="AB1215" s="228" t="str">
        <f t="shared" si="175"/>
        <v>TinSoft Metais Ltda.</v>
      </c>
    </row>
    <row r="1216" spans="1:28" s="227" customFormat="1" ht="27">
      <c r="A1216" s="301" t="s">
        <v>2514</v>
      </c>
      <c r="B1216" s="293" t="s">
        <v>1120</v>
      </c>
      <c r="C1216" s="294" t="s">
        <v>2513</v>
      </c>
      <c r="D1216" s="295" t="s">
        <v>2513</v>
      </c>
      <c r="E1216" s="293" t="s">
        <v>1086</v>
      </c>
      <c r="F1216" s="293" t="s">
        <v>2514</v>
      </c>
      <c r="G1216" s="293" t="s">
        <v>13217</v>
      </c>
      <c r="H1216" s="296" t="s">
        <v>15855</v>
      </c>
      <c r="I1216" s="297" t="s">
        <v>2522</v>
      </c>
      <c r="J1216" s="297" t="s">
        <v>1666</v>
      </c>
      <c r="K1216" s="298" t="s">
        <v>15855</v>
      </c>
      <c r="L1216" s="298" t="s">
        <v>15855</v>
      </c>
      <c r="M1216" s="298" t="s">
        <v>15855</v>
      </c>
      <c r="N1216" s="298" t="s">
        <v>15855</v>
      </c>
      <c r="O1216" s="298" t="s">
        <v>15858</v>
      </c>
      <c r="P1216" s="299" t="s">
        <v>15857</v>
      </c>
      <c r="Q1216" s="300" t="s">
        <v>15855</v>
      </c>
      <c r="R1216" s="182" t="str">
        <f ca="1">IF(ISERROR($V1216),"",OFFSET('Smelter Look-up'!$C$4,$V1216-4,0)&amp;"")</f>
        <v>Super Ligas</v>
      </c>
      <c r="S1216" s="181" t="str">
        <f t="shared" ca="1" si="173"/>
        <v>BR</v>
      </c>
      <c r="T1216" s="181" t="str">
        <f ca="1">IF(B1216="","",IF(ISERROR(MATCH($J1216,SorP!$B$1:$B$6226,0)),"",INDIRECT("'SorP'!$A$"&amp;MATCH($S1216&amp;$J1216,SorP!C:C,0))))</f>
        <v>BR-SP</v>
      </c>
      <c r="U1216" s="201"/>
      <c r="V1216" s="226">
        <f>IF(C1216="",NA(),IF(OR(C1216="Smelter not listed",C1216="Smelter not yet identified"),MATCH($B1216&amp;$D1216,'Smelter Look-up'!$J:$J,0),MATCH($B1216&amp;$C1216,'Smelter Look-up'!$J:$J,0)))</f>
        <v>543</v>
      </c>
      <c r="X1216" s="227">
        <f t="shared" si="174"/>
        <v>0</v>
      </c>
      <c r="AB1216" s="228" t="str">
        <f t="shared" si="175"/>
        <v>TinSuper Ligas</v>
      </c>
    </row>
    <row r="1217" spans="1:28" s="227" customFormat="1" ht="94.5">
      <c r="A1217" s="301" t="s">
        <v>16878</v>
      </c>
      <c r="B1217" s="293" t="s">
        <v>1120</v>
      </c>
      <c r="C1217" s="294" t="s">
        <v>16879</v>
      </c>
      <c r="D1217" s="295" t="s">
        <v>16879</v>
      </c>
      <c r="E1217" s="293" t="s">
        <v>882</v>
      </c>
      <c r="F1217" s="293" t="s">
        <v>16878</v>
      </c>
      <c r="G1217" s="293" t="s">
        <v>13217</v>
      </c>
      <c r="H1217" s="296" t="s">
        <v>15855</v>
      </c>
      <c r="I1217" s="297" t="s">
        <v>16880</v>
      </c>
      <c r="J1217" s="297" t="s">
        <v>12112</v>
      </c>
      <c r="K1217" s="298" t="s">
        <v>15855</v>
      </c>
      <c r="L1217" s="298" t="s">
        <v>15855</v>
      </c>
      <c r="M1217" s="298" t="s">
        <v>15855</v>
      </c>
      <c r="N1217" s="298" t="s">
        <v>15855</v>
      </c>
      <c r="O1217" s="298" t="s">
        <v>15855</v>
      </c>
      <c r="P1217" s="299" t="s">
        <v>15857</v>
      </c>
      <c r="Q1217" s="300" t="s">
        <v>15855</v>
      </c>
      <c r="R1217" s="182" t="str">
        <f ca="1">IF(ISERROR($V1217),"",OFFSET('Smelter Look-up'!$C$4,$V1217-4,0)&amp;"")</f>
        <v/>
      </c>
      <c r="S1217" s="181" t="str">
        <f t="shared" ca="1" si="173"/>
        <v>VN</v>
      </c>
      <c r="T1217" s="181" t="str">
        <f ca="1">IF(B1217="","",IF(ISERROR(MATCH($J1217,SorP!$B$1:$B$6226,0)),"",INDIRECT("'SorP'!$A$"&amp;MATCH($S1217&amp;$J1217,SorP!C:C,0))))</f>
        <v>VN-69</v>
      </c>
      <c r="U1217" s="201"/>
      <c r="V1217" s="226" t="e">
        <f>IF(C1217="",NA(),IF(OR(C1217="Smelter not listed",C1217="Smelter not yet identified"),MATCH($B1217&amp;$D1217,'Smelter Look-up'!$J:$J,0),MATCH($B1217&amp;$C1217,'Smelter Look-up'!$J:$J,0)))</f>
        <v>#N/A</v>
      </c>
      <c r="X1217" s="227">
        <f t="shared" si="174"/>
        <v>0</v>
      </c>
      <c r="AB1217" s="228" t="str">
        <f t="shared" si="175"/>
        <v>TinThai Nguyen Mining and Metallurgy Co., Ltd.</v>
      </c>
    </row>
    <row r="1218" spans="1:28" s="227" customFormat="1" ht="94.5">
      <c r="A1218" s="301" t="s">
        <v>16878</v>
      </c>
      <c r="B1218" s="293" t="s">
        <v>1120</v>
      </c>
      <c r="C1218" s="294" t="s">
        <v>16879</v>
      </c>
      <c r="D1218" s="295" t="s">
        <v>16879</v>
      </c>
      <c r="E1218" s="293" t="s">
        <v>882</v>
      </c>
      <c r="F1218" s="293" t="s">
        <v>16878</v>
      </c>
      <c r="G1218" s="293" t="s">
        <v>13217</v>
      </c>
      <c r="H1218" s="296" t="s">
        <v>15855</v>
      </c>
      <c r="I1218" s="297" t="s">
        <v>16880</v>
      </c>
      <c r="J1218" s="297" t="s">
        <v>12112</v>
      </c>
      <c r="K1218" s="298" t="s">
        <v>16881</v>
      </c>
      <c r="L1218" s="298" t="s">
        <v>16882</v>
      </c>
      <c r="M1218" s="298" t="s">
        <v>15892</v>
      </c>
      <c r="N1218" s="298" t="s">
        <v>15862</v>
      </c>
      <c r="O1218" s="298" t="s">
        <v>16729</v>
      </c>
      <c r="P1218" s="299" t="s">
        <v>15857</v>
      </c>
      <c r="Q1218" s="300" t="s">
        <v>15855</v>
      </c>
      <c r="R1218" s="182" t="str">
        <f ca="1">IF(ISERROR($V1218),"",OFFSET('Smelter Look-up'!$C$4,$V1218-4,0)&amp;"")</f>
        <v/>
      </c>
      <c r="S1218" s="181" t="str">
        <f t="shared" ca="1" si="173"/>
        <v>VN</v>
      </c>
      <c r="T1218" s="181" t="str">
        <f ca="1">IF(B1218="","",IF(ISERROR(MATCH($J1218,SorP!$B$1:$B$6226,0)),"",INDIRECT("'SorP'!$A$"&amp;MATCH($S1218&amp;$J1218,SorP!C:C,0))))</f>
        <v>VN-69</v>
      </c>
      <c r="U1218" s="201"/>
      <c r="V1218" s="226" t="e">
        <f>IF(C1218="",NA(),IF(OR(C1218="Smelter not listed",C1218="Smelter not yet identified"),MATCH($B1218&amp;$D1218,'Smelter Look-up'!$J:$J,0),MATCH($B1218&amp;$C1218,'Smelter Look-up'!$J:$J,0)))</f>
        <v>#N/A</v>
      </c>
      <c r="X1218" s="227">
        <f t="shared" si="174"/>
        <v>0</v>
      </c>
      <c r="AB1218" s="228" t="str">
        <f t="shared" si="175"/>
        <v>TinThai Nguyen Mining and Metallurgy Co., Ltd.</v>
      </c>
    </row>
    <row r="1219" spans="1:28" s="227" customFormat="1" ht="94.5">
      <c r="A1219" s="301" t="s">
        <v>16878</v>
      </c>
      <c r="B1219" s="293" t="s">
        <v>1120</v>
      </c>
      <c r="C1219" s="294" t="s">
        <v>16879</v>
      </c>
      <c r="D1219" s="295" t="s">
        <v>16879</v>
      </c>
      <c r="E1219" s="293" t="s">
        <v>882</v>
      </c>
      <c r="F1219" s="293" t="s">
        <v>16878</v>
      </c>
      <c r="G1219" s="293" t="s">
        <v>13217</v>
      </c>
      <c r="H1219" s="302" t="s">
        <v>15880</v>
      </c>
      <c r="I1219" s="297" t="s">
        <v>16880</v>
      </c>
      <c r="J1219" s="297" t="s">
        <v>12112</v>
      </c>
      <c r="K1219" s="298" t="s">
        <v>15855</v>
      </c>
      <c r="L1219" s="298" t="s">
        <v>15855</v>
      </c>
      <c r="M1219" s="298" t="s">
        <v>15855</v>
      </c>
      <c r="N1219" s="298" t="s">
        <v>15855</v>
      </c>
      <c r="O1219" s="298" t="s">
        <v>15855</v>
      </c>
      <c r="P1219" s="299" t="s">
        <v>15857</v>
      </c>
      <c r="Q1219" s="300" t="s">
        <v>15855</v>
      </c>
      <c r="R1219" s="182" t="str">
        <f ca="1">IF(ISERROR($V1219),"",OFFSET('Smelter Look-up'!$C$4,$V1219-4,0)&amp;"")</f>
        <v/>
      </c>
      <c r="S1219" s="181" t="str">
        <f t="shared" ca="1" si="173"/>
        <v>VN</v>
      </c>
      <c r="T1219" s="181" t="str">
        <f ca="1">IF(B1219="","",IF(ISERROR(MATCH($J1219,SorP!$B$1:$B$6226,0)),"",INDIRECT("'SorP'!$A$"&amp;MATCH($S1219&amp;$J1219,SorP!C:C,0))))</f>
        <v>VN-69</v>
      </c>
      <c r="U1219" s="201"/>
      <c r="V1219" s="226" t="e">
        <f>IF(C1219="",NA(),IF(OR(C1219="Smelter not listed",C1219="Smelter not yet identified"),MATCH($B1219&amp;$D1219,'Smelter Look-up'!$J:$J,0),MATCH($B1219&amp;$C1219,'Smelter Look-up'!$J:$J,0)))</f>
        <v>#N/A</v>
      </c>
      <c r="X1219" s="227">
        <f t="shared" si="174"/>
        <v>0</v>
      </c>
      <c r="AB1219" s="228" t="str">
        <f t="shared" si="175"/>
        <v>TinThai Nguyen Mining and Metallurgy Co., Ltd.</v>
      </c>
    </row>
    <row r="1220" spans="1:28" s="227" customFormat="1" ht="67.5">
      <c r="A1220" s="301" t="s">
        <v>779</v>
      </c>
      <c r="B1220" s="293" t="s">
        <v>1120</v>
      </c>
      <c r="C1220" s="294" t="s">
        <v>40</v>
      </c>
      <c r="D1220" s="295" t="s">
        <v>1021</v>
      </c>
      <c r="E1220" s="293" t="s">
        <v>878</v>
      </c>
      <c r="F1220" s="293" t="s">
        <v>779</v>
      </c>
      <c r="G1220" s="293" t="s">
        <v>13217</v>
      </c>
      <c r="H1220" s="296" t="s">
        <v>15855</v>
      </c>
      <c r="I1220" s="297" t="s">
        <v>1781</v>
      </c>
      <c r="J1220" s="297" t="s">
        <v>1782</v>
      </c>
      <c r="K1220" s="298" t="s">
        <v>15855</v>
      </c>
      <c r="L1220" s="298" t="s">
        <v>15855</v>
      </c>
      <c r="M1220" s="298" t="s">
        <v>15855</v>
      </c>
      <c r="N1220" s="298" t="s">
        <v>15855</v>
      </c>
      <c r="O1220" s="298" t="s">
        <v>15855</v>
      </c>
      <c r="P1220" s="299" t="s">
        <v>15857</v>
      </c>
      <c r="Q1220" s="300" t="s">
        <v>15855</v>
      </c>
      <c r="R1220" s="182" t="str">
        <f ca="1">IF(ISERROR($V1220),"",OFFSET('Smelter Look-up'!$C$4,$V1220-4,0)&amp;"")</f>
        <v>Thaisarco</v>
      </c>
      <c r="S1220" s="181" t="str">
        <f t="shared" ca="1" si="173"/>
        <v>TH</v>
      </c>
      <c r="T1220" s="181" t="str">
        <f ca="1">IF(B1220="","",IF(ISERROR(MATCH($J1220,SorP!$B$1:$B$6226,0)),"",INDIRECT("'SorP'!$A$"&amp;MATCH($S1220&amp;$J1220,SorP!C:C,0))))</f>
        <v>TH-83</v>
      </c>
      <c r="U1220" s="201"/>
      <c r="V1220" s="226">
        <f>IF(C1220="",NA(),IF(OR(C1220="Smelter not listed",C1220="Smelter not yet identified"),MATCH($B1220&amp;$D1220,'Smelter Look-up'!$J:$J,0),MATCH($B1220&amp;$C1220,'Smelter Look-up'!$J:$J,0)))</f>
        <v>545</v>
      </c>
      <c r="X1220" s="227">
        <f t="shared" si="174"/>
        <v>0</v>
      </c>
      <c r="AB1220" s="228" t="str">
        <f t="shared" si="175"/>
        <v>TinThai Solder Industry Corp., Ltd.</v>
      </c>
    </row>
    <row r="1221" spans="1:28" s="227" customFormat="1" ht="81">
      <c r="A1221" s="301" t="s">
        <v>779</v>
      </c>
      <c r="B1221" s="293" t="s">
        <v>1120</v>
      </c>
      <c r="C1221" s="294" t="s">
        <v>1783</v>
      </c>
      <c r="D1221" s="295" t="s">
        <v>1021</v>
      </c>
      <c r="E1221" s="293" t="s">
        <v>878</v>
      </c>
      <c r="F1221" s="293" t="s">
        <v>779</v>
      </c>
      <c r="G1221" s="293" t="s">
        <v>15865</v>
      </c>
      <c r="H1221" s="296" t="s">
        <v>15855</v>
      </c>
      <c r="I1221" s="297" t="s">
        <v>1781</v>
      </c>
      <c r="J1221" s="297" t="s">
        <v>1782</v>
      </c>
      <c r="K1221" s="298" t="s">
        <v>15855</v>
      </c>
      <c r="L1221" s="298" t="s">
        <v>15855</v>
      </c>
      <c r="M1221" s="298" t="s">
        <v>15855</v>
      </c>
      <c r="N1221" s="298" t="s">
        <v>15855</v>
      </c>
      <c r="O1221" s="298" t="s">
        <v>15855</v>
      </c>
      <c r="P1221" s="299" t="s">
        <v>15857</v>
      </c>
      <c r="Q1221" s="300" t="s">
        <v>15855</v>
      </c>
      <c r="R1221" s="182" t="str">
        <f ca="1">IF(ISERROR($V1221),"",OFFSET('Smelter Look-up'!$C$4,$V1221-4,0)&amp;"")</f>
        <v>Thaisarco</v>
      </c>
      <c r="S1221" s="181" t="str">
        <f t="shared" ca="1" si="173"/>
        <v>TH</v>
      </c>
      <c r="T1221" s="181" t="str">
        <f ca="1">IF(B1221="","",IF(ISERROR(MATCH($J1221,SorP!$B$1:$B$6226,0)),"",INDIRECT("'SorP'!$A$"&amp;MATCH($S1221&amp;$J1221,SorP!C:C,0))))</f>
        <v>TH-83</v>
      </c>
      <c r="U1221" s="201"/>
      <c r="V1221" s="226">
        <f>IF(C1221="",NA(),IF(OR(C1221="Smelter not listed",C1221="Smelter not yet identified"),MATCH($B1221&amp;$D1221,'Smelter Look-up'!$J:$J,0),MATCH($B1221&amp;$C1221,'Smelter Look-up'!$J:$J,0)))</f>
        <v>546</v>
      </c>
      <c r="X1221" s="227">
        <f t="shared" si="174"/>
        <v>0</v>
      </c>
      <c r="AB1221" s="228" t="str">
        <f t="shared" si="175"/>
        <v>TinThailand Smelting &amp; Refining Co Ltd</v>
      </c>
    </row>
    <row r="1222" spans="1:28" s="227" customFormat="1" ht="81">
      <c r="A1222" s="301" t="s">
        <v>779</v>
      </c>
      <c r="B1222" s="293" t="s">
        <v>1120</v>
      </c>
      <c r="C1222" s="294" t="s">
        <v>1783</v>
      </c>
      <c r="D1222" s="295" t="s">
        <v>1021</v>
      </c>
      <c r="E1222" s="293" t="s">
        <v>878</v>
      </c>
      <c r="F1222" s="293" t="s">
        <v>779</v>
      </c>
      <c r="G1222" s="293" t="s">
        <v>13217</v>
      </c>
      <c r="H1222" s="296" t="s">
        <v>15855</v>
      </c>
      <c r="I1222" s="297" t="s">
        <v>1781</v>
      </c>
      <c r="J1222" s="297" t="s">
        <v>1782</v>
      </c>
      <c r="K1222" s="298" t="s">
        <v>15855</v>
      </c>
      <c r="L1222" s="298" t="s">
        <v>15855</v>
      </c>
      <c r="M1222" s="298" t="s">
        <v>15855</v>
      </c>
      <c r="N1222" s="298" t="s">
        <v>15855</v>
      </c>
      <c r="O1222" s="298" t="s">
        <v>15855</v>
      </c>
      <c r="P1222" s="299" t="s">
        <v>15857</v>
      </c>
      <c r="Q1222" s="300" t="s">
        <v>15855</v>
      </c>
      <c r="R1222" s="182" t="str">
        <f ca="1">IF(ISERROR($V1222),"",OFFSET('Smelter Look-up'!$C$4,$V1222-4,0)&amp;"")</f>
        <v>Thaisarco</v>
      </c>
      <c r="S1222" s="181" t="str">
        <f t="shared" ca="1" si="173"/>
        <v>TH</v>
      </c>
      <c r="T1222" s="181" t="str">
        <f ca="1">IF(B1222="","",IF(ISERROR(MATCH($J1222,SorP!$B$1:$B$6226,0)),"",INDIRECT("'SorP'!$A$"&amp;MATCH($S1222&amp;$J1222,SorP!C:C,0))))</f>
        <v>TH-83</v>
      </c>
      <c r="U1222" s="201"/>
      <c r="V1222" s="226">
        <f>IF(C1222="",NA(),IF(OR(C1222="Smelter not listed",C1222="Smelter not yet identified"),MATCH($B1222&amp;$D1222,'Smelter Look-up'!$J:$J,0),MATCH($B1222&amp;$C1222,'Smelter Look-up'!$J:$J,0)))</f>
        <v>546</v>
      </c>
      <c r="X1222" s="227">
        <f t="shared" si="174"/>
        <v>0</v>
      </c>
      <c r="AB1222" s="228" t="str">
        <f t="shared" si="175"/>
        <v>TinThailand Smelting &amp; Refining Co Ltd</v>
      </c>
    </row>
    <row r="1223" spans="1:28" s="227" customFormat="1" ht="81">
      <c r="A1223" s="301" t="s">
        <v>779</v>
      </c>
      <c r="B1223" s="293" t="s">
        <v>1120</v>
      </c>
      <c r="C1223" s="294" t="s">
        <v>1783</v>
      </c>
      <c r="D1223" s="295" t="s">
        <v>1021</v>
      </c>
      <c r="E1223" s="293" t="s">
        <v>878</v>
      </c>
      <c r="F1223" s="293" t="s">
        <v>779</v>
      </c>
      <c r="G1223" s="293" t="s">
        <v>13217</v>
      </c>
      <c r="H1223" s="302" t="s">
        <v>15880</v>
      </c>
      <c r="I1223" s="297" t="s">
        <v>1781</v>
      </c>
      <c r="J1223" s="297" t="s">
        <v>1782</v>
      </c>
      <c r="K1223" s="298" t="s">
        <v>15855</v>
      </c>
      <c r="L1223" s="298" t="s">
        <v>15855</v>
      </c>
      <c r="M1223" s="298" t="s">
        <v>15855</v>
      </c>
      <c r="N1223" s="298" t="s">
        <v>15855</v>
      </c>
      <c r="O1223" s="298" t="s">
        <v>15855</v>
      </c>
      <c r="P1223" s="299" t="s">
        <v>15857</v>
      </c>
      <c r="Q1223" s="300" t="s">
        <v>16611</v>
      </c>
      <c r="R1223" s="182" t="str">
        <f ca="1">IF(ISERROR($V1223),"",OFFSET('Smelter Look-up'!$C$4,$V1223-4,0)&amp;"")</f>
        <v>Thaisarco</v>
      </c>
      <c r="S1223" s="181" t="str">
        <f t="shared" ca="1" si="173"/>
        <v>TH</v>
      </c>
      <c r="T1223" s="181" t="str">
        <f ca="1">IF(B1223="","",IF(ISERROR(MATCH($J1223,SorP!$B$1:$B$6226,0)),"",INDIRECT("'SorP'!$A$"&amp;MATCH($S1223&amp;$J1223,SorP!C:C,0))))</f>
        <v>TH-83</v>
      </c>
      <c r="U1223" s="201"/>
      <c r="V1223" s="226">
        <f>IF(C1223="",NA(),IF(OR(C1223="Smelter not listed",C1223="Smelter not yet identified"),MATCH($B1223&amp;$D1223,'Smelter Look-up'!$J:$J,0),MATCH($B1223&amp;$C1223,'Smelter Look-up'!$J:$J,0)))</f>
        <v>546</v>
      </c>
      <c r="X1223" s="227">
        <f t="shared" si="174"/>
        <v>0</v>
      </c>
      <c r="AB1223" s="228" t="str">
        <f t="shared" si="175"/>
        <v>TinThailand Smelting &amp; Refining Co Ltd</v>
      </c>
    </row>
    <row r="1224" spans="1:28" s="227" customFormat="1" ht="27">
      <c r="A1224" s="301" t="s">
        <v>779</v>
      </c>
      <c r="B1224" s="293" t="s">
        <v>1120</v>
      </c>
      <c r="C1224" s="294" t="s">
        <v>1021</v>
      </c>
      <c r="D1224" s="295" t="s">
        <v>1021</v>
      </c>
      <c r="E1224" s="293" t="s">
        <v>878</v>
      </c>
      <c r="F1224" s="293" t="s">
        <v>779</v>
      </c>
      <c r="G1224" s="293" t="s">
        <v>15864</v>
      </c>
      <c r="H1224" s="302" t="s">
        <v>15880</v>
      </c>
      <c r="I1224" s="297" t="s">
        <v>1781</v>
      </c>
      <c r="J1224" s="297" t="s">
        <v>1782</v>
      </c>
      <c r="K1224" s="298" t="s">
        <v>15855</v>
      </c>
      <c r="L1224" s="298" t="s">
        <v>15855</v>
      </c>
      <c r="M1224" s="298" t="s">
        <v>15855</v>
      </c>
      <c r="N1224" s="298" t="s">
        <v>15855</v>
      </c>
      <c r="O1224" s="298" t="s">
        <v>15855</v>
      </c>
      <c r="P1224" s="299" t="s">
        <v>15857</v>
      </c>
      <c r="Q1224" s="300" t="s">
        <v>15855</v>
      </c>
      <c r="R1224" s="182" t="str">
        <f ca="1">IF(ISERROR($V1224),"",OFFSET('Smelter Look-up'!$C$4,$V1224-4,0)&amp;"")</f>
        <v>Thaisarco</v>
      </c>
      <c r="S1224" s="181" t="str">
        <f t="shared" ca="1" si="173"/>
        <v>TH</v>
      </c>
      <c r="T1224" s="181" t="str">
        <f ca="1">IF(B1224="","",IF(ISERROR(MATCH($J1224,SorP!$B$1:$B$6226,0)),"",INDIRECT("'SorP'!$A$"&amp;MATCH($S1224&amp;$J1224,SorP!C:C,0))))</f>
        <v>TH-83</v>
      </c>
      <c r="U1224" s="201"/>
      <c r="V1224" s="226">
        <f>IF(C1224="",NA(),IF(OR(C1224="Smelter not listed",C1224="Smelter not yet identified"),MATCH($B1224&amp;$D1224,'Smelter Look-up'!$J:$J,0),MATCH($B1224&amp;$C1224,'Smelter Look-up'!$J:$J,0)))</f>
        <v>547</v>
      </c>
      <c r="X1224" s="227">
        <f t="shared" si="174"/>
        <v>0</v>
      </c>
      <c r="AB1224" s="228" t="str">
        <f t="shared" si="175"/>
        <v>TinThaisarco</v>
      </c>
    </row>
    <row r="1225" spans="1:28" s="227" customFormat="1" ht="27">
      <c r="A1225" s="301" t="s">
        <v>779</v>
      </c>
      <c r="B1225" s="293" t="s">
        <v>1120</v>
      </c>
      <c r="C1225" s="294" t="s">
        <v>1021</v>
      </c>
      <c r="D1225" s="295" t="s">
        <v>1021</v>
      </c>
      <c r="E1225" s="293" t="s">
        <v>878</v>
      </c>
      <c r="F1225" s="293" t="s">
        <v>779</v>
      </c>
      <c r="G1225" s="293" t="s">
        <v>15865</v>
      </c>
      <c r="H1225" s="296" t="s">
        <v>15855</v>
      </c>
      <c r="I1225" s="297" t="s">
        <v>1781</v>
      </c>
      <c r="J1225" s="297" t="s">
        <v>1782</v>
      </c>
      <c r="K1225" s="298" t="s">
        <v>15855</v>
      </c>
      <c r="L1225" s="298" t="s">
        <v>15855</v>
      </c>
      <c r="M1225" s="298" t="s">
        <v>15855</v>
      </c>
      <c r="N1225" s="298" t="s">
        <v>15855</v>
      </c>
      <c r="O1225" s="298" t="s">
        <v>15855</v>
      </c>
      <c r="P1225" s="299" t="s">
        <v>15857</v>
      </c>
      <c r="Q1225" s="300" t="s">
        <v>15855</v>
      </c>
      <c r="R1225" s="182" t="str">
        <f ca="1">IF(ISERROR($V1225),"",OFFSET('Smelter Look-up'!$C$4,$V1225-4,0)&amp;"")</f>
        <v>Thaisarco</v>
      </c>
      <c r="S1225" s="181" t="str">
        <f t="shared" ca="1" si="173"/>
        <v>TH</v>
      </c>
      <c r="T1225" s="181" t="str">
        <f ca="1">IF(B1225="","",IF(ISERROR(MATCH($J1225,SorP!$B$1:$B$6226,0)),"",INDIRECT("'SorP'!$A$"&amp;MATCH($S1225&amp;$J1225,SorP!C:C,0))))</f>
        <v>TH-83</v>
      </c>
      <c r="U1225" s="201"/>
      <c r="V1225" s="226">
        <f>IF(C1225="",NA(),IF(OR(C1225="Smelter not listed",C1225="Smelter not yet identified"),MATCH($B1225&amp;$D1225,'Smelter Look-up'!$J:$J,0),MATCH($B1225&amp;$C1225,'Smelter Look-up'!$J:$J,0)))</f>
        <v>547</v>
      </c>
      <c r="X1225" s="227">
        <f t="shared" si="174"/>
        <v>0</v>
      </c>
      <c r="AB1225" s="228" t="str">
        <f t="shared" si="175"/>
        <v>TinThaisarco</v>
      </c>
    </row>
    <row r="1226" spans="1:28" s="227" customFormat="1" ht="27">
      <c r="A1226" s="301" t="s">
        <v>779</v>
      </c>
      <c r="B1226" s="293" t="s">
        <v>1120</v>
      </c>
      <c r="C1226" s="294" t="s">
        <v>1021</v>
      </c>
      <c r="D1226" s="295" t="s">
        <v>1021</v>
      </c>
      <c r="E1226" s="293" t="s">
        <v>878</v>
      </c>
      <c r="F1226" s="293" t="s">
        <v>779</v>
      </c>
      <c r="G1226" s="293" t="s">
        <v>13217</v>
      </c>
      <c r="H1226" s="296" t="s">
        <v>15855</v>
      </c>
      <c r="I1226" s="297" t="s">
        <v>1781</v>
      </c>
      <c r="J1226" s="297" t="s">
        <v>1782</v>
      </c>
      <c r="K1226" s="298" t="s">
        <v>15855</v>
      </c>
      <c r="L1226" s="298" t="s">
        <v>15855</v>
      </c>
      <c r="M1226" s="298" t="s">
        <v>15855</v>
      </c>
      <c r="N1226" s="298" t="s">
        <v>15855</v>
      </c>
      <c r="O1226" s="298" t="s">
        <v>15855</v>
      </c>
      <c r="P1226" s="299" t="s">
        <v>15857</v>
      </c>
      <c r="Q1226" s="300" t="s">
        <v>15855</v>
      </c>
      <c r="R1226" s="182" t="str">
        <f ca="1">IF(ISERROR($V1226),"",OFFSET('Smelter Look-up'!$C$4,$V1226-4,0)&amp;"")</f>
        <v>Thaisarco</v>
      </c>
      <c r="S1226" s="181" t="str">
        <f t="shared" ca="1" si="173"/>
        <v>TH</v>
      </c>
      <c r="T1226" s="181" t="str">
        <f ca="1">IF(B1226="","",IF(ISERROR(MATCH($J1226,SorP!$B$1:$B$6226,0)),"",INDIRECT("'SorP'!$A$"&amp;MATCH($S1226&amp;$J1226,SorP!C:C,0))))</f>
        <v>TH-83</v>
      </c>
      <c r="U1226" s="201"/>
      <c r="V1226" s="226">
        <f>IF(C1226="",NA(),IF(OR(C1226="Smelter not listed",C1226="Smelter not yet identified"),MATCH($B1226&amp;$D1226,'Smelter Look-up'!$J:$J,0),MATCH($B1226&amp;$C1226,'Smelter Look-up'!$J:$J,0)))</f>
        <v>547</v>
      </c>
      <c r="X1226" s="227">
        <f t="shared" si="174"/>
        <v>0</v>
      </c>
      <c r="AB1226" s="228" t="str">
        <f t="shared" si="175"/>
        <v>TinThaisarco</v>
      </c>
    </row>
    <row r="1227" spans="1:28" s="227" customFormat="1" ht="27">
      <c r="A1227" s="301" t="s">
        <v>779</v>
      </c>
      <c r="B1227" s="293" t="s">
        <v>1120</v>
      </c>
      <c r="C1227" s="294" t="s">
        <v>1021</v>
      </c>
      <c r="D1227" s="295" t="s">
        <v>1021</v>
      </c>
      <c r="E1227" s="293" t="s">
        <v>878</v>
      </c>
      <c r="F1227" s="293" t="s">
        <v>779</v>
      </c>
      <c r="G1227" s="293" t="s">
        <v>13217</v>
      </c>
      <c r="H1227" s="296" t="s">
        <v>15855</v>
      </c>
      <c r="I1227" s="297" t="s">
        <v>1781</v>
      </c>
      <c r="J1227" s="297" t="s">
        <v>1782</v>
      </c>
      <c r="K1227" s="298" t="s">
        <v>15855</v>
      </c>
      <c r="L1227" s="298" t="s">
        <v>15855</v>
      </c>
      <c r="M1227" s="298" t="s">
        <v>15855</v>
      </c>
      <c r="N1227" s="298" t="s">
        <v>15855</v>
      </c>
      <c r="O1227" s="298" t="s">
        <v>15855</v>
      </c>
      <c r="P1227" s="299" t="s">
        <v>15857</v>
      </c>
      <c r="Q1227" s="300" t="s">
        <v>16531</v>
      </c>
      <c r="R1227" s="182" t="str">
        <f ca="1">IF(ISERROR($V1227),"",OFFSET('Smelter Look-up'!$C$4,$V1227-4,0)&amp;"")</f>
        <v>Thaisarco</v>
      </c>
      <c r="S1227" s="181" t="str">
        <f t="shared" ca="1" si="173"/>
        <v>TH</v>
      </c>
      <c r="T1227" s="181" t="str">
        <f ca="1">IF(B1227="","",IF(ISERROR(MATCH($J1227,SorP!$B$1:$B$6226,0)),"",INDIRECT("'SorP'!$A$"&amp;MATCH($S1227&amp;$J1227,SorP!C:C,0))))</f>
        <v>TH-83</v>
      </c>
      <c r="U1227" s="201"/>
      <c r="V1227" s="226">
        <f>IF(C1227="",NA(),IF(OR(C1227="Smelter not listed",C1227="Smelter not yet identified"),MATCH($B1227&amp;$D1227,'Smelter Look-up'!$J:$J,0),MATCH($B1227&amp;$C1227,'Smelter Look-up'!$J:$J,0)))</f>
        <v>547</v>
      </c>
      <c r="X1227" s="227">
        <f t="shared" si="174"/>
        <v>0</v>
      </c>
      <c r="AB1227" s="228" t="str">
        <f t="shared" si="175"/>
        <v>TinThaisarco</v>
      </c>
    </row>
    <row r="1228" spans="1:28" s="227" customFormat="1" ht="27">
      <c r="A1228" s="301" t="s">
        <v>779</v>
      </c>
      <c r="B1228" s="293" t="s">
        <v>1120</v>
      </c>
      <c r="C1228" s="294" t="s">
        <v>1021</v>
      </c>
      <c r="D1228" s="295" t="s">
        <v>1021</v>
      </c>
      <c r="E1228" s="293" t="s">
        <v>878</v>
      </c>
      <c r="F1228" s="293" t="s">
        <v>779</v>
      </c>
      <c r="G1228" s="293" t="s">
        <v>13217</v>
      </c>
      <c r="H1228" s="296" t="s">
        <v>15855</v>
      </c>
      <c r="I1228" s="297" t="s">
        <v>1781</v>
      </c>
      <c r="J1228" s="297" t="s">
        <v>1782</v>
      </c>
      <c r="K1228" s="298" t="s">
        <v>15855</v>
      </c>
      <c r="L1228" s="298" t="s">
        <v>15855</v>
      </c>
      <c r="M1228" s="298" t="s">
        <v>15855</v>
      </c>
      <c r="N1228" s="298" t="s">
        <v>15855</v>
      </c>
      <c r="O1228" s="298" t="s">
        <v>15855</v>
      </c>
      <c r="P1228" s="299" t="s">
        <v>15875</v>
      </c>
      <c r="Q1228" s="300" t="s">
        <v>15855</v>
      </c>
      <c r="R1228" s="182" t="str">
        <f ca="1">IF(ISERROR($V1228),"",OFFSET('Smelter Look-up'!$C$4,$V1228-4,0)&amp;"")</f>
        <v>Thaisarco</v>
      </c>
      <c r="S1228" s="181" t="str">
        <f t="shared" ca="1" si="173"/>
        <v>TH</v>
      </c>
      <c r="T1228" s="181" t="str">
        <f ca="1">IF(B1228="","",IF(ISERROR(MATCH($J1228,SorP!$B$1:$B$6226,0)),"",INDIRECT("'SorP'!$A$"&amp;MATCH($S1228&amp;$J1228,SorP!C:C,0))))</f>
        <v>TH-83</v>
      </c>
      <c r="U1228" s="201"/>
      <c r="V1228" s="226">
        <f>IF(C1228="",NA(),IF(OR(C1228="Smelter not listed",C1228="Smelter not yet identified"),MATCH($B1228&amp;$D1228,'Smelter Look-up'!$J:$J,0),MATCH($B1228&amp;$C1228,'Smelter Look-up'!$J:$J,0)))</f>
        <v>547</v>
      </c>
      <c r="X1228" s="227">
        <f t="shared" si="174"/>
        <v>0</v>
      </c>
      <c r="AB1228" s="228" t="str">
        <f t="shared" si="175"/>
        <v>TinThaisarco</v>
      </c>
    </row>
    <row r="1229" spans="1:28" s="227" customFormat="1" ht="40.5">
      <c r="A1229" s="301" t="s">
        <v>779</v>
      </c>
      <c r="B1229" s="293" t="s">
        <v>1120</v>
      </c>
      <c r="C1229" s="294" t="s">
        <v>1021</v>
      </c>
      <c r="D1229" s="295" t="s">
        <v>1021</v>
      </c>
      <c r="E1229" s="293" t="s">
        <v>878</v>
      </c>
      <c r="F1229" s="293" t="s">
        <v>779</v>
      </c>
      <c r="G1229" s="293" t="s">
        <v>13217</v>
      </c>
      <c r="H1229" s="296" t="s">
        <v>15855</v>
      </c>
      <c r="I1229" s="297" t="s">
        <v>1781</v>
      </c>
      <c r="J1229" s="297" t="s">
        <v>1782</v>
      </c>
      <c r="K1229" s="298" t="s">
        <v>15855</v>
      </c>
      <c r="L1229" s="298" t="s">
        <v>15855</v>
      </c>
      <c r="M1229" s="298" t="s">
        <v>15855</v>
      </c>
      <c r="N1229" s="298" t="s">
        <v>15855</v>
      </c>
      <c r="O1229" s="298" t="s">
        <v>16883</v>
      </c>
      <c r="P1229" s="299" t="s">
        <v>15857</v>
      </c>
      <c r="Q1229" s="300" t="s">
        <v>15855</v>
      </c>
      <c r="R1229" s="182" t="str">
        <f ca="1">IF(ISERROR($V1229),"",OFFSET('Smelter Look-up'!$C$4,$V1229-4,0)&amp;"")</f>
        <v>Thaisarco</v>
      </c>
      <c r="S1229" s="181" t="str">
        <f t="shared" ca="1" si="173"/>
        <v>TH</v>
      </c>
      <c r="T1229" s="181" t="str">
        <f ca="1">IF(B1229="","",IF(ISERROR(MATCH($J1229,SorP!$B$1:$B$6226,0)),"",INDIRECT("'SorP'!$A$"&amp;MATCH($S1229&amp;$J1229,SorP!C:C,0))))</f>
        <v>TH-83</v>
      </c>
      <c r="U1229" s="201"/>
      <c r="V1229" s="226">
        <f>IF(C1229="",NA(),IF(OR(C1229="Smelter not listed",C1229="Smelter not yet identified"),MATCH($B1229&amp;$D1229,'Smelter Look-up'!$J:$J,0),MATCH($B1229&amp;$C1229,'Smelter Look-up'!$J:$J,0)))</f>
        <v>547</v>
      </c>
      <c r="X1229" s="227">
        <f t="shared" si="174"/>
        <v>0</v>
      </c>
      <c r="AB1229" s="228" t="str">
        <f t="shared" si="175"/>
        <v>TinThaisarco</v>
      </c>
    </row>
    <row r="1230" spans="1:28" s="227" customFormat="1" ht="94.5">
      <c r="A1230" s="301" t="s">
        <v>779</v>
      </c>
      <c r="B1230" s="293" t="s">
        <v>1120</v>
      </c>
      <c r="C1230" s="294" t="s">
        <v>1021</v>
      </c>
      <c r="D1230" s="295" t="s">
        <v>1021</v>
      </c>
      <c r="E1230" s="293" t="s">
        <v>878</v>
      </c>
      <c r="F1230" s="293" t="s">
        <v>779</v>
      </c>
      <c r="G1230" s="293" t="s">
        <v>13217</v>
      </c>
      <c r="H1230" s="296" t="s">
        <v>15855</v>
      </c>
      <c r="I1230" s="297" t="s">
        <v>1781</v>
      </c>
      <c r="J1230" s="297" t="s">
        <v>1782</v>
      </c>
      <c r="K1230" s="298" t="s">
        <v>15855</v>
      </c>
      <c r="L1230" s="298" t="s">
        <v>16884</v>
      </c>
      <c r="M1230" s="298" t="s">
        <v>15855</v>
      </c>
      <c r="N1230" s="298" t="s">
        <v>16885</v>
      </c>
      <c r="O1230" s="298" t="s">
        <v>16886</v>
      </c>
      <c r="P1230" s="299" t="s">
        <v>15857</v>
      </c>
      <c r="Q1230" s="300" t="s">
        <v>15855</v>
      </c>
      <c r="R1230" s="182" t="str">
        <f ca="1">IF(ISERROR($V1230),"",OFFSET('Smelter Look-up'!$C$4,$V1230-4,0)&amp;"")</f>
        <v>Thaisarco</v>
      </c>
      <c r="S1230" s="181" t="str">
        <f t="shared" ca="1" si="173"/>
        <v>TH</v>
      </c>
      <c r="T1230" s="181" t="str">
        <f ca="1">IF(B1230="","",IF(ISERROR(MATCH($J1230,SorP!$B$1:$B$6226,0)),"",INDIRECT("'SorP'!$A$"&amp;MATCH($S1230&amp;$J1230,SorP!C:C,0))))</f>
        <v>TH-83</v>
      </c>
      <c r="U1230" s="201"/>
      <c r="V1230" s="226">
        <f>IF(C1230="",NA(),IF(OR(C1230="Smelter not listed",C1230="Smelter not yet identified"),MATCH($B1230&amp;$D1230,'Smelter Look-up'!$J:$J,0),MATCH($B1230&amp;$C1230,'Smelter Look-up'!$J:$J,0)))</f>
        <v>547</v>
      </c>
      <c r="X1230" s="227">
        <f t="shared" si="174"/>
        <v>0</v>
      </c>
      <c r="AB1230" s="228" t="str">
        <f t="shared" si="175"/>
        <v>TinThaisarco</v>
      </c>
    </row>
    <row r="1231" spans="1:28" s="227" customFormat="1" ht="67.5">
      <c r="A1231" s="301" t="s">
        <v>779</v>
      </c>
      <c r="B1231" s="293" t="s">
        <v>1120</v>
      </c>
      <c r="C1231" s="294" t="s">
        <v>1021</v>
      </c>
      <c r="D1231" s="295" t="s">
        <v>1021</v>
      </c>
      <c r="E1231" s="293" t="s">
        <v>878</v>
      </c>
      <c r="F1231" s="293" t="s">
        <v>779</v>
      </c>
      <c r="G1231" s="293" t="s">
        <v>13217</v>
      </c>
      <c r="H1231" s="296" t="s">
        <v>15855</v>
      </c>
      <c r="I1231" s="297" t="s">
        <v>1781</v>
      </c>
      <c r="J1231" s="297" t="s">
        <v>1782</v>
      </c>
      <c r="K1231" s="298" t="s">
        <v>16887</v>
      </c>
      <c r="L1231" s="298" t="s">
        <v>16888</v>
      </c>
      <c r="M1231" s="298" t="s">
        <v>15869</v>
      </c>
      <c r="N1231" s="298" t="s">
        <v>16889</v>
      </c>
      <c r="O1231" s="298" t="s">
        <v>16890</v>
      </c>
      <c r="P1231" s="299" t="s">
        <v>15857</v>
      </c>
      <c r="Q1231" s="300" t="s">
        <v>15855</v>
      </c>
      <c r="R1231" s="182" t="str">
        <f ca="1">IF(ISERROR($V1231),"",OFFSET('Smelter Look-up'!$C$4,$V1231-4,0)&amp;"")</f>
        <v>Thaisarco</v>
      </c>
      <c r="S1231" s="181" t="str">
        <f t="shared" ca="1" si="173"/>
        <v>TH</v>
      </c>
      <c r="T1231" s="181" t="str">
        <f ca="1">IF(B1231="","",IF(ISERROR(MATCH($J1231,SorP!$B$1:$B$6226,0)),"",INDIRECT("'SorP'!$A$"&amp;MATCH($S1231&amp;$J1231,SorP!C:C,0))))</f>
        <v>TH-83</v>
      </c>
      <c r="U1231" s="201"/>
      <c r="V1231" s="226">
        <f>IF(C1231="",NA(),IF(OR(C1231="Smelter not listed",C1231="Smelter not yet identified"),MATCH($B1231&amp;$D1231,'Smelter Look-up'!$J:$J,0),MATCH($B1231&amp;$C1231,'Smelter Look-up'!$J:$J,0)))</f>
        <v>547</v>
      </c>
      <c r="X1231" s="227">
        <f t="shared" si="174"/>
        <v>0</v>
      </c>
      <c r="AB1231" s="228" t="str">
        <f t="shared" si="175"/>
        <v>TinThaisarco</v>
      </c>
    </row>
    <row r="1232" spans="1:28" s="227" customFormat="1" ht="27">
      <c r="A1232" s="301" t="s">
        <v>779</v>
      </c>
      <c r="B1232" s="293" t="s">
        <v>1120</v>
      </c>
      <c r="C1232" s="294" t="s">
        <v>1021</v>
      </c>
      <c r="D1232" s="295" t="s">
        <v>1021</v>
      </c>
      <c r="E1232" s="293" t="s">
        <v>878</v>
      </c>
      <c r="F1232" s="293" t="s">
        <v>779</v>
      </c>
      <c r="G1232" s="293" t="s">
        <v>13217</v>
      </c>
      <c r="H1232" s="302" t="s">
        <v>15880</v>
      </c>
      <c r="I1232" s="297" t="s">
        <v>1781</v>
      </c>
      <c r="J1232" s="297" t="s">
        <v>1782</v>
      </c>
      <c r="K1232" s="298" t="s">
        <v>15855</v>
      </c>
      <c r="L1232" s="298" t="s">
        <v>15855</v>
      </c>
      <c r="M1232" s="298" t="s">
        <v>15855</v>
      </c>
      <c r="N1232" s="298" t="s">
        <v>15855</v>
      </c>
      <c r="O1232" s="298" t="s">
        <v>15855</v>
      </c>
      <c r="P1232" s="299" t="s">
        <v>15857</v>
      </c>
      <c r="Q1232" s="300" t="s">
        <v>15855</v>
      </c>
      <c r="R1232" s="182" t="str">
        <f ca="1">IF(ISERROR($V1232),"",OFFSET('Smelter Look-up'!$C$4,$V1232-4,0)&amp;"")</f>
        <v>Thaisarco</v>
      </c>
      <c r="S1232" s="181" t="str">
        <f t="shared" ca="1" si="173"/>
        <v>TH</v>
      </c>
      <c r="T1232" s="181" t="str">
        <f ca="1">IF(B1232="","",IF(ISERROR(MATCH($J1232,SorP!$B$1:$B$6226,0)),"",INDIRECT("'SorP'!$A$"&amp;MATCH($S1232&amp;$J1232,SorP!C:C,0))))</f>
        <v>TH-83</v>
      </c>
      <c r="U1232" s="201"/>
      <c r="V1232" s="226">
        <f>IF(C1232="",NA(),IF(OR(C1232="Smelter not listed",C1232="Smelter not yet identified"),MATCH($B1232&amp;$D1232,'Smelter Look-up'!$J:$J,0),MATCH($B1232&amp;$C1232,'Smelter Look-up'!$J:$J,0)))</f>
        <v>547</v>
      </c>
      <c r="X1232" s="227">
        <f t="shared" si="174"/>
        <v>0</v>
      </c>
      <c r="AB1232" s="228" t="str">
        <f t="shared" si="175"/>
        <v>TinThaisarco</v>
      </c>
    </row>
    <row r="1233" spans="1:28" s="227" customFormat="1" ht="27">
      <c r="A1233" s="301" t="s">
        <v>779</v>
      </c>
      <c r="B1233" s="293" t="s">
        <v>1120</v>
      </c>
      <c r="C1233" s="294" t="s">
        <v>1021</v>
      </c>
      <c r="D1233" s="295" t="s">
        <v>1021</v>
      </c>
      <c r="E1233" s="293" t="s">
        <v>878</v>
      </c>
      <c r="F1233" s="293" t="s">
        <v>779</v>
      </c>
      <c r="G1233" s="293" t="s">
        <v>13217</v>
      </c>
      <c r="H1233" s="302" t="s">
        <v>15880</v>
      </c>
      <c r="I1233" s="297" t="s">
        <v>1781</v>
      </c>
      <c r="J1233" s="297" t="s">
        <v>1782</v>
      </c>
      <c r="K1233" s="298" t="s">
        <v>16891</v>
      </c>
      <c r="L1233" s="298" t="s">
        <v>16892</v>
      </c>
      <c r="M1233" s="298" t="s">
        <v>16345</v>
      </c>
      <c r="N1233" s="298" t="s">
        <v>16540</v>
      </c>
      <c r="O1233" s="298" t="s">
        <v>16540</v>
      </c>
      <c r="P1233" s="299" t="s">
        <v>15857</v>
      </c>
      <c r="Q1233" s="300" t="s">
        <v>16569</v>
      </c>
      <c r="R1233" s="182" t="str">
        <f ca="1">IF(ISERROR($V1233),"",OFFSET('Smelter Look-up'!$C$4,$V1233-4,0)&amp;"")</f>
        <v>Thaisarco</v>
      </c>
      <c r="S1233" s="181" t="str">
        <f t="shared" ca="1" si="173"/>
        <v>TH</v>
      </c>
      <c r="T1233" s="181" t="str">
        <f ca="1">IF(B1233="","",IF(ISERROR(MATCH($J1233,SorP!$B$1:$B$6226,0)),"",INDIRECT("'SorP'!$A$"&amp;MATCH($S1233&amp;$J1233,SorP!C:C,0))))</f>
        <v>TH-83</v>
      </c>
      <c r="U1233" s="201"/>
      <c r="V1233" s="226">
        <f>IF(C1233="",NA(),IF(OR(C1233="Smelter not listed",C1233="Smelter not yet identified"),MATCH($B1233&amp;$D1233,'Smelter Look-up'!$J:$J,0),MATCH($B1233&amp;$C1233,'Smelter Look-up'!$J:$J,0)))</f>
        <v>547</v>
      </c>
      <c r="X1233" s="227">
        <f t="shared" si="174"/>
        <v>0</v>
      </c>
      <c r="AB1233" s="228" t="str">
        <f t="shared" si="175"/>
        <v>TinThaisarco</v>
      </c>
    </row>
    <row r="1234" spans="1:28" s="227" customFormat="1" ht="121.5">
      <c r="A1234" s="301" t="s">
        <v>779</v>
      </c>
      <c r="B1234" s="293" t="s">
        <v>1120</v>
      </c>
      <c r="C1234" s="294" t="s">
        <v>1021</v>
      </c>
      <c r="D1234" s="295" t="s">
        <v>1021</v>
      </c>
      <c r="E1234" s="293" t="s">
        <v>878</v>
      </c>
      <c r="F1234" s="293" t="s">
        <v>779</v>
      </c>
      <c r="G1234" s="293" t="s">
        <v>13217</v>
      </c>
      <c r="H1234" s="296" t="s">
        <v>16893</v>
      </c>
      <c r="I1234" s="297" t="s">
        <v>1781</v>
      </c>
      <c r="J1234" s="297" t="s">
        <v>1782</v>
      </c>
      <c r="K1234" s="298" t="s">
        <v>16894</v>
      </c>
      <c r="L1234" s="298" t="s">
        <v>16895</v>
      </c>
      <c r="M1234" s="298" t="s">
        <v>15855</v>
      </c>
      <c r="N1234" s="298" t="s">
        <v>16896</v>
      </c>
      <c r="O1234" s="298" t="s">
        <v>16897</v>
      </c>
      <c r="P1234" s="299" t="s">
        <v>15857</v>
      </c>
      <c r="Q1234" s="300" t="s">
        <v>15855</v>
      </c>
      <c r="R1234" s="182" t="str">
        <f ca="1">IF(ISERROR($V1234),"",OFFSET('Smelter Look-up'!$C$4,$V1234-4,0)&amp;"")</f>
        <v>Thaisarco</v>
      </c>
      <c r="S1234" s="181" t="str">
        <f t="shared" ca="1" si="173"/>
        <v>TH</v>
      </c>
      <c r="T1234" s="181" t="str">
        <f ca="1">IF(B1234="","",IF(ISERROR(MATCH($J1234,SorP!$B$1:$B$6226,0)),"",INDIRECT("'SorP'!$A$"&amp;MATCH($S1234&amp;$J1234,SorP!C:C,0))))</f>
        <v>TH-83</v>
      </c>
      <c r="U1234" s="201"/>
      <c r="V1234" s="226">
        <f>IF(C1234="",NA(),IF(OR(C1234="Smelter not listed",C1234="Smelter not yet identified"),MATCH($B1234&amp;$D1234,'Smelter Look-up'!$J:$J,0),MATCH($B1234&amp;$C1234,'Smelter Look-up'!$J:$J,0)))</f>
        <v>547</v>
      </c>
      <c r="X1234" s="227">
        <f t="shared" si="174"/>
        <v>0</v>
      </c>
      <c r="AB1234" s="228" t="str">
        <f t="shared" si="175"/>
        <v>TinThaisarco</v>
      </c>
    </row>
    <row r="1235" spans="1:28" s="227" customFormat="1" ht="27">
      <c r="A1235" s="301" t="s">
        <v>779</v>
      </c>
      <c r="B1235" s="293" t="s">
        <v>1120</v>
      </c>
      <c r="C1235" s="294" t="s">
        <v>1021</v>
      </c>
      <c r="D1235" s="295" t="s">
        <v>1021</v>
      </c>
      <c r="E1235" s="293" t="s">
        <v>878</v>
      </c>
      <c r="F1235" s="293" t="s">
        <v>779</v>
      </c>
      <c r="G1235" s="293" t="s">
        <v>13217</v>
      </c>
      <c r="H1235" s="296" t="s">
        <v>16898</v>
      </c>
      <c r="I1235" s="297" t="s">
        <v>1781</v>
      </c>
      <c r="J1235" s="297" t="s">
        <v>1782</v>
      </c>
      <c r="K1235" s="298" t="s">
        <v>16894</v>
      </c>
      <c r="L1235" s="298" t="s">
        <v>16895</v>
      </c>
      <c r="M1235" s="298" t="s">
        <v>16345</v>
      </c>
      <c r="N1235" s="298" t="s">
        <v>16540</v>
      </c>
      <c r="O1235" s="298" t="s">
        <v>16540</v>
      </c>
      <c r="P1235" s="299" t="s">
        <v>15857</v>
      </c>
      <c r="Q1235" s="300" t="s">
        <v>15855</v>
      </c>
      <c r="R1235" s="182" t="str">
        <f ca="1">IF(ISERROR($V1235),"",OFFSET('Smelter Look-up'!$C$4,$V1235-4,0)&amp;"")</f>
        <v>Thaisarco</v>
      </c>
      <c r="S1235" s="181" t="str">
        <f t="shared" ca="1" si="173"/>
        <v>TH</v>
      </c>
      <c r="T1235" s="181" t="str">
        <f ca="1">IF(B1235="","",IF(ISERROR(MATCH($J1235,SorP!$B$1:$B$6226,0)),"",INDIRECT("'SorP'!$A$"&amp;MATCH($S1235&amp;$J1235,SorP!C:C,0))))</f>
        <v>TH-83</v>
      </c>
      <c r="U1235" s="201"/>
      <c r="V1235" s="226">
        <f>IF(C1235="",NA(),IF(OR(C1235="Smelter not listed",C1235="Smelter not yet identified"),MATCH($B1235&amp;$D1235,'Smelter Look-up'!$J:$J,0),MATCH($B1235&amp;$C1235,'Smelter Look-up'!$J:$J,0)))</f>
        <v>547</v>
      </c>
      <c r="X1235" s="227">
        <f t="shared" si="174"/>
        <v>0</v>
      </c>
      <c r="AB1235" s="228" t="str">
        <f t="shared" si="175"/>
        <v>TinThaisarco</v>
      </c>
    </row>
    <row r="1236" spans="1:28" s="227" customFormat="1" ht="27">
      <c r="A1236" s="301" t="s">
        <v>779</v>
      </c>
      <c r="B1236" s="293" t="s">
        <v>1120</v>
      </c>
      <c r="C1236" s="294" t="s">
        <v>1021</v>
      </c>
      <c r="D1236" s="295" t="s">
        <v>1021</v>
      </c>
      <c r="E1236" s="293" t="s">
        <v>878</v>
      </c>
      <c r="F1236" s="293" t="s">
        <v>779</v>
      </c>
      <c r="G1236" s="293" t="s">
        <v>13217</v>
      </c>
      <c r="H1236" s="296" t="s">
        <v>16899</v>
      </c>
      <c r="I1236" s="297" t="s">
        <v>1781</v>
      </c>
      <c r="J1236" s="297" t="s">
        <v>1782</v>
      </c>
      <c r="K1236" s="298" t="s">
        <v>16900</v>
      </c>
      <c r="L1236" s="298" t="s">
        <v>16901</v>
      </c>
      <c r="M1236" s="298" t="s">
        <v>16562</v>
      </c>
      <c r="N1236" s="298" t="s">
        <v>15855</v>
      </c>
      <c r="O1236" s="298" t="s">
        <v>15855</v>
      </c>
      <c r="P1236" s="299" t="s">
        <v>15857</v>
      </c>
      <c r="Q1236" s="300" t="s">
        <v>16902</v>
      </c>
      <c r="R1236" s="182" t="str">
        <f ca="1">IF(ISERROR($V1236),"",OFFSET('Smelter Look-up'!$C$4,$V1236-4,0)&amp;"")</f>
        <v>Thaisarco</v>
      </c>
      <c r="S1236" s="181" t="str">
        <f t="shared" ca="1" si="173"/>
        <v>TH</v>
      </c>
      <c r="T1236" s="181" t="str">
        <f ca="1">IF(B1236="","",IF(ISERROR(MATCH($J1236,SorP!$B$1:$B$6226,0)),"",INDIRECT("'SorP'!$A$"&amp;MATCH($S1236&amp;$J1236,SorP!C:C,0))))</f>
        <v>TH-83</v>
      </c>
      <c r="U1236" s="201"/>
      <c r="V1236" s="226">
        <f>IF(C1236="",NA(),IF(OR(C1236="Smelter not listed",C1236="Smelter not yet identified"),MATCH($B1236&amp;$D1236,'Smelter Look-up'!$J:$J,0),MATCH($B1236&amp;$C1236,'Smelter Look-up'!$J:$J,0)))</f>
        <v>547</v>
      </c>
      <c r="X1236" s="227">
        <f t="shared" si="174"/>
        <v>0</v>
      </c>
      <c r="AB1236" s="228" t="str">
        <f t="shared" si="175"/>
        <v>TinThaisarco</v>
      </c>
    </row>
    <row r="1237" spans="1:28" s="227" customFormat="1" ht="108">
      <c r="A1237" s="301" t="s">
        <v>16903</v>
      </c>
      <c r="B1237" s="293" t="s">
        <v>1120</v>
      </c>
      <c r="C1237" s="294" t="s">
        <v>16904</v>
      </c>
      <c r="D1237" s="295" t="s">
        <v>16904</v>
      </c>
      <c r="E1237" s="293" t="s">
        <v>1090</v>
      </c>
      <c r="F1237" s="293" t="s">
        <v>16903</v>
      </c>
      <c r="G1237" s="293" t="s">
        <v>13217</v>
      </c>
      <c r="H1237" s="296" t="s">
        <v>15855</v>
      </c>
      <c r="I1237" s="297" t="s">
        <v>16905</v>
      </c>
      <c r="J1237" s="297" t="s">
        <v>16905</v>
      </c>
      <c r="K1237" s="298" t="s">
        <v>15855</v>
      </c>
      <c r="L1237" s="298" t="s">
        <v>15855</v>
      </c>
      <c r="M1237" s="298" t="s">
        <v>15855</v>
      </c>
      <c r="N1237" s="298" t="s">
        <v>15855</v>
      </c>
      <c r="O1237" s="298" t="s">
        <v>15855</v>
      </c>
      <c r="P1237" s="299" t="s">
        <v>15857</v>
      </c>
      <c r="Q1237" s="300" t="s">
        <v>15855</v>
      </c>
      <c r="R1237" s="182" t="str">
        <f ca="1">IF(ISERROR($V1237),"",OFFSET('Smelter Look-up'!$C$4,$V1237-4,0)&amp;"")</f>
        <v/>
      </c>
      <c r="S1237" s="181" t="str">
        <f t="shared" ca="1" si="173"/>
        <v>CN</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si="174"/>
        <v>0</v>
      </c>
      <c r="AB1237" s="228" t="str">
        <f t="shared" si="175"/>
        <v>TinTianjin Maolian Science &amp; Technology Co., Ltd.</v>
      </c>
    </row>
    <row r="1238" spans="1:28" s="227" customFormat="1" ht="94.5">
      <c r="A1238" s="301" t="s">
        <v>782</v>
      </c>
      <c r="B1238" s="293" t="s">
        <v>1120</v>
      </c>
      <c r="C1238" s="294" t="s">
        <v>15436</v>
      </c>
      <c r="D1238" s="295" t="s">
        <v>15436</v>
      </c>
      <c r="E1238" s="293" t="s">
        <v>1090</v>
      </c>
      <c r="F1238" s="293" t="s">
        <v>782</v>
      </c>
      <c r="G1238" s="293" t="s">
        <v>13217</v>
      </c>
      <c r="H1238" s="296" t="s">
        <v>15855</v>
      </c>
      <c r="I1238" s="297" t="s">
        <v>2429</v>
      </c>
      <c r="J1238" s="297" t="s">
        <v>13605</v>
      </c>
      <c r="K1238" s="298" t="s">
        <v>15855</v>
      </c>
      <c r="L1238" s="298" t="s">
        <v>15855</v>
      </c>
      <c r="M1238" s="298" t="s">
        <v>15855</v>
      </c>
      <c r="N1238" s="298" t="s">
        <v>15855</v>
      </c>
      <c r="O1238" s="298" t="s">
        <v>15855</v>
      </c>
      <c r="P1238" s="299" t="s">
        <v>15857</v>
      </c>
      <c r="Q1238" s="300" t="s">
        <v>15855</v>
      </c>
      <c r="R1238" s="182" t="str">
        <f ca="1">IF(ISERROR($V1238),"",OFFSET('Smelter Look-up'!$C$4,$V1238-4,0)&amp;"")</f>
        <v>Tin Smelting Branch of Yunnan Tin Co., Ltd.</v>
      </c>
      <c r="S1238" s="181" t="str">
        <f t="shared" ca="1" si="173"/>
        <v>CN</v>
      </c>
      <c r="T1238" s="181" t="str">
        <f ca="1">IF(B1238="","",IF(ISERROR(MATCH($J1238,SorP!$B$1:$B$6226,0)),"",INDIRECT("'SorP'!$A$"&amp;MATCH($S1238&amp;$J1238,SorP!C:C,0))))</f>
        <v>CN-YN</v>
      </c>
      <c r="U1238" s="201"/>
      <c r="V1238" s="226">
        <f>IF(C1238="",NA(),IF(OR(C1238="Smelter not listed",C1238="Smelter not yet identified"),MATCH($B1238&amp;$D1238,'Smelter Look-up'!$J:$J,0),MATCH($B1238&amp;$C1238,'Smelter Look-up'!$J:$J,0)))</f>
        <v>550</v>
      </c>
      <c r="X1238" s="227">
        <f t="shared" si="174"/>
        <v>0</v>
      </c>
      <c r="AB1238" s="228" t="str">
        <f t="shared" si="175"/>
        <v>TinTin Smelting Branch of Yunnan Tin Co., Ltd.</v>
      </c>
    </row>
    <row r="1239" spans="1:28" s="227" customFormat="1" ht="94.5">
      <c r="A1239" s="301" t="s">
        <v>782</v>
      </c>
      <c r="B1239" s="293" t="s">
        <v>1120</v>
      </c>
      <c r="C1239" s="294" t="s">
        <v>15436</v>
      </c>
      <c r="D1239" s="295" t="s">
        <v>15436</v>
      </c>
      <c r="E1239" s="293" t="s">
        <v>1090</v>
      </c>
      <c r="F1239" s="293" t="s">
        <v>782</v>
      </c>
      <c r="G1239" s="293" t="s">
        <v>13217</v>
      </c>
      <c r="H1239" s="296" t="s">
        <v>15855</v>
      </c>
      <c r="I1239" s="297" t="s">
        <v>2429</v>
      </c>
      <c r="J1239" s="297" t="s">
        <v>13605</v>
      </c>
      <c r="K1239" s="298" t="s">
        <v>15855</v>
      </c>
      <c r="L1239" s="298" t="s">
        <v>15855</v>
      </c>
      <c r="M1239" s="298" t="s">
        <v>15855</v>
      </c>
      <c r="N1239" s="298" t="s">
        <v>15855</v>
      </c>
      <c r="O1239" s="298" t="s">
        <v>15855</v>
      </c>
      <c r="P1239" s="299" t="s">
        <v>15875</v>
      </c>
      <c r="Q1239" s="300" t="s">
        <v>15855</v>
      </c>
      <c r="R1239" s="182" t="str">
        <f ca="1">IF(ISERROR($V1239),"",OFFSET('Smelter Look-up'!$C$4,$V1239-4,0)&amp;"")</f>
        <v>Tin Smelting Branch of Yunnan Tin Co., Ltd.</v>
      </c>
      <c r="S1239" s="181" t="str">
        <f t="shared" ca="1" si="173"/>
        <v>CN</v>
      </c>
      <c r="T1239" s="181" t="str">
        <f ca="1">IF(B1239="","",IF(ISERROR(MATCH($J1239,SorP!$B$1:$B$6226,0)),"",INDIRECT("'SorP'!$A$"&amp;MATCH($S1239&amp;$J1239,SorP!C:C,0))))</f>
        <v>CN-YN</v>
      </c>
      <c r="U1239" s="201"/>
      <c r="V1239" s="226">
        <f>IF(C1239="",NA(),IF(OR(C1239="Smelter not listed",C1239="Smelter not yet identified"),MATCH($B1239&amp;$D1239,'Smelter Look-up'!$J:$J,0),MATCH($B1239&amp;$C1239,'Smelter Look-up'!$J:$J,0)))</f>
        <v>550</v>
      </c>
      <c r="X1239" s="227">
        <f t="shared" si="174"/>
        <v>0</v>
      </c>
      <c r="AB1239" s="228" t="str">
        <f t="shared" si="175"/>
        <v>TinTin Smelting Branch of Yunnan Tin Co., Ltd.</v>
      </c>
    </row>
    <row r="1240" spans="1:28" s="227" customFormat="1" ht="94.5">
      <c r="A1240" s="301" t="s">
        <v>782</v>
      </c>
      <c r="B1240" s="293" t="s">
        <v>1120</v>
      </c>
      <c r="C1240" s="294" t="s">
        <v>15436</v>
      </c>
      <c r="D1240" s="295" t="s">
        <v>15436</v>
      </c>
      <c r="E1240" s="293" t="s">
        <v>1090</v>
      </c>
      <c r="F1240" s="293" t="s">
        <v>782</v>
      </c>
      <c r="G1240" s="293" t="s">
        <v>13217</v>
      </c>
      <c r="H1240" s="296" t="s">
        <v>15855</v>
      </c>
      <c r="I1240" s="297" t="s">
        <v>2429</v>
      </c>
      <c r="J1240" s="297" t="s">
        <v>13605</v>
      </c>
      <c r="K1240" s="298" t="s">
        <v>16906</v>
      </c>
      <c r="L1240" s="298" t="s">
        <v>16907</v>
      </c>
      <c r="M1240" s="298" t="s">
        <v>16908</v>
      </c>
      <c r="N1240" s="298" t="s">
        <v>15870</v>
      </c>
      <c r="O1240" s="298" t="s">
        <v>15994</v>
      </c>
      <c r="P1240" s="299" t="s">
        <v>15857</v>
      </c>
      <c r="Q1240" s="300" t="s">
        <v>15855</v>
      </c>
      <c r="R1240" s="182" t="str">
        <f ca="1">IF(ISERROR($V1240),"",OFFSET('Smelter Look-up'!$C$4,$V1240-4,0)&amp;"")</f>
        <v>Tin Smelting Branch of Yunnan Tin Co., Ltd.</v>
      </c>
      <c r="S1240" s="181" t="str">
        <f t="shared" ca="1" si="173"/>
        <v>CN</v>
      </c>
      <c r="T1240" s="181" t="str">
        <f ca="1">IF(B1240="","",IF(ISERROR(MATCH($J1240,SorP!$B$1:$B$6226,0)),"",INDIRECT("'SorP'!$A$"&amp;MATCH($S1240&amp;$J1240,SorP!C:C,0))))</f>
        <v>CN-YN</v>
      </c>
      <c r="U1240" s="201"/>
      <c r="V1240" s="226">
        <f>IF(C1240="",NA(),IF(OR(C1240="Smelter not listed",C1240="Smelter not yet identified"),MATCH($B1240&amp;$D1240,'Smelter Look-up'!$J:$J,0),MATCH($B1240&amp;$C1240,'Smelter Look-up'!$J:$J,0)))</f>
        <v>550</v>
      </c>
      <c r="X1240" s="227">
        <f t="shared" si="174"/>
        <v>0</v>
      </c>
      <c r="AB1240" s="228" t="str">
        <f t="shared" si="175"/>
        <v>TinTin Smelting Branch of Yunnan Tin Co., Ltd.</v>
      </c>
    </row>
    <row r="1241" spans="1:28" s="227" customFormat="1" ht="94.5">
      <c r="A1241" s="301" t="s">
        <v>782</v>
      </c>
      <c r="B1241" s="293" t="s">
        <v>1120</v>
      </c>
      <c r="C1241" s="294" t="s">
        <v>15436</v>
      </c>
      <c r="D1241" s="295" t="s">
        <v>15436</v>
      </c>
      <c r="E1241" s="293" t="s">
        <v>1090</v>
      </c>
      <c r="F1241" s="293" t="s">
        <v>782</v>
      </c>
      <c r="G1241" s="293" t="s">
        <v>13217</v>
      </c>
      <c r="H1241" s="302" t="s">
        <v>15880</v>
      </c>
      <c r="I1241" s="297" t="s">
        <v>2429</v>
      </c>
      <c r="J1241" s="297" t="s">
        <v>13605</v>
      </c>
      <c r="K1241" s="298" t="s">
        <v>15855</v>
      </c>
      <c r="L1241" s="298" t="s">
        <v>15855</v>
      </c>
      <c r="M1241" s="298" t="s">
        <v>15855</v>
      </c>
      <c r="N1241" s="298" t="s">
        <v>15855</v>
      </c>
      <c r="O1241" s="298" t="s">
        <v>15855</v>
      </c>
      <c r="P1241" s="299" t="s">
        <v>15857</v>
      </c>
      <c r="Q1241" s="300" t="s">
        <v>15855</v>
      </c>
      <c r="R1241" s="182" t="str">
        <f ca="1">IF(ISERROR($V1241),"",OFFSET('Smelter Look-up'!$C$4,$V1241-4,0)&amp;"")</f>
        <v>Tin Smelting Branch of Yunnan Tin Co., Ltd.</v>
      </c>
      <c r="S1241" s="181" t="str">
        <f t="shared" ca="1" si="173"/>
        <v>CN</v>
      </c>
      <c r="T1241" s="181" t="str">
        <f ca="1">IF(B1241="","",IF(ISERROR(MATCH($J1241,SorP!$B$1:$B$6226,0)),"",INDIRECT("'SorP'!$A$"&amp;MATCH($S1241&amp;$J1241,SorP!C:C,0))))</f>
        <v>CN-YN</v>
      </c>
      <c r="U1241" s="201"/>
      <c r="V1241" s="226">
        <f>IF(C1241="",NA(),IF(OR(C1241="Smelter not listed",C1241="Smelter not yet identified"),MATCH($B1241&amp;$D1241,'Smelter Look-up'!$J:$J,0),MATCH($B1241&amp;$C1241,'Smelter Look-up'!$J:$J,0)))</f>
        <v>550</v>
      </c>
      <c r="X1241" s="227">
        <f t="shared" si="174"/>
        <v>0</v>
      </c>
      <c r="AB1241" s="228" t="str">
        <f t="shared" si="175"/>
        <v>TinTin Smelting Branch of Yunnan Tin Co., Ltd.</v>
      </c>
    </row>
    <row r="1242" spans="1:28" s="227" customFormat="1" ht="54">
      <c r="A1242" s="301" t="s">
        <v>782</v>
      </c>
      <c r="B1242" s="293" t="s">
        <v>1120</v>
      </c>
      <c r="C1242" s="294" t="s">
        <v>15465</v>
      </c>
      <c r="D1242" s="295" t="s">
        <v>15436</v>
      </c>
      <c r="E1242" s="293" t="s">
        <v>1090</v>
      </c>
      <c r="F1242" s="293" t="s">
        <v>782</v>
      </c>
      <c r="G1242" s="293" t="s">
        <v>13217</v>
      </c>
      <c r="H1242" s="296" t="s">
        <v>15855</v>
      </c>
      <c r="I1242" s="297" t="s">
        <v>2429</v>
      </c>
      <c r="J1242" s="297" t="s">
        <v>13605</v>
      </c>
      <c r="K1242" s="298" t="s">
        <v>15855</v>
      </c>
      <c r="L1242" s="298" t="s">
        <v>15855</v>
      </c>
      <c r="M1242" s="298" t="s">
        <v>15855</v>
      </c>
      <c r="N1242" s="298" t="s">
        <v>15855</v>
      </c>
      <c r="O1242" s="298" t="s">
        <v>15855</v>
      </c>
      <c r="P1242" s="299" t="s">
        <v>15857</v>
      </c>
      <c r="Q1242" s="300" t="s">
        <v>15855</v>
      </c>
      <c r="R1242" s="182" t="str">
        <f ca="1">IF(ISERROR($V1242),"",OFFSET('Smelter Look-up'!$C$4,$V1242-4,0)&amp;"")</f>
        <v>Tin Smelting Branch of Yunnan Tin Co., Ltd.</v>
      </c>
      <c r="S1242" s="181" t="str">
        <f t="shared" ca="1" si="173"/>
        <v>CN</v>
      </c>
      <c r="T1242" s="181" t="str">
        <f ca="1">IF(B1242="","",IF(ISERROR(MATCH($J1242,SorP!$B$1:$B$6226,0)),"",INDIRECT("'SorP'!$A$"&amp;MATCH($S1242&amp;$J1242,SorP!C:C,0))))</f>
        <v>CN-YN</v>
      </c>
      <c r="U1242" s="201"/>
      <c r="V1242" s="226">
        <f>IF(C1242="",NA(),IF(OR(C1242="Smelter not listed",C1242="Smelter not yet identified"),MATCH($B1242&amp;$D1242,'Smelter Look-up'!$J:$J,0),MATCH($B1242&amp;$C1242,'Smelter Look-up'!$J:$J,0)))</f>
        <v>576</v>
      </c>
      <c r="X1242" s="227">
        <f t="shared" si="174"/>
        <v>0</v>
      </c>
      <c r="AB1242" s="228" t="str">
        <f t="shared" si="175"/>
        <v>Tin云南锡业股份有限公司锡业分公司</v>
      </c>
    </row>
    <row r="1243" spans="1:28" s="227" customFormat="1" ht="54">
      <c r="A1243" s="301" t="s">
        <v>782</v>
      </c>
      <c r="B1243" s="293" t="s">
        <v>1120</v>
      </c>
      <c r="C1243" s="294" t="s">
        <v>15465</v>
      </c>
      <c r="D1243" s="295" t="s">
        <v>15436</v>
      </c>
      <c r="E1243" s="293" t="s">
        <v>1090</v>
      </c>
      <c r="F1243" s="293" t="s">
        <v>782</v>
      </c>
      <c r="G1243" s="293" t="s">
        <v>13217</v>
      </c>
      <c r="H1243" s="296" t="s">
        <v>15855</v>
      </c>
      <c r="I1243" s="297" t="s">
        <v>2429</v>
      </c>
      <c r="J1243" s="297" t="s">
        <v>13605</v>
      </c>
      <c r="K1243" s="298" t="s">
        <v>15855</v>
      </c>
      <c r="L1243" s="298" t="s">
        <v>15855</v>
      </c>
      <c r="M1243" s="298" t="s">
        <v>2334</v>
      </c>
      <c r="N1243" s="298" t="s">
        <v>15855</v>
      </c>
      <c r="O1243" s="298" t="s">
        <v>15855</v>
      </c>
      <c r="P1243" s="299" t="s">
        <v>15857</v>
      </c>
      <c r="Q1243" s="300" t="s">
        <v>15855</v>
      </c>
      <c r="R1243" s="182" t="str">
        <f ca="1">IF(ISERROR($V1243),"",OFFSET('Smelter Look-up'!$C$4,$V1243-4,0)&amp;"")</f>
        <v>Tin Smelting Branch of Yunnan Tin Co., Ltd.</v>
      </c>
      <c r="S1243" s="181" t="str">
        <f t="shared" ca="1" si="173"/>
        <v>CN</v>
      </c>
      <c r="T1243" s="181" t="str">
        <f ca="1">IF(B1243="","",IF(ISERROR(MATCH($J1243,SorP!$B$1:$B$6226,0)),"",INDIRECT("'SorP'!$A$"&amp;MATCH($S1243&amp;$J1243,SorP!C:C,0))))</f>
        <v>CN-YN</v>
      </c>
      <c r="U1243" s="201"/>
      <c r="V1243" s="226">
        <f>IF(C1243="",NA(),IF(OR(C1243="Smelter not listed",C1243="Smelter not yet identified"),MATCH($B1243&amp;$D1243,'Smelter Look-up'!$J:$J,0),MATCH($B1243&amp;$C1243,'Smelter Look-up'!$J:$J,0)))</f>
        <v>576</v>
      </c>
      <c r="X1243" s="227">
        <f t="shared" si="174"/>
        <v>0</v>
      </c>
      <c r="AB1243" s="228" t="str">
        <f t="shared" si="175"/>
        <v>Tin云南锡业股份有限公司锡业分公司</v>
      </c>
    </row>
    <row r="1244" spans="1:28" s="227" customFormat="1" ht="54">
      <c r="A1244" s="301" t="s">
        <v>782</v>
      </c>
      <c r="B1244" s="293" t="s">
        <v>1120</v>
      </c>
      <c r="C1244" s="294" t="s">
        <v>15465</v>
      </c>
      <c r="D1244" s="295" t="s">
        <v>15436</v>
      </c>
      <c r="E1244" s="293" t="s">
        <v>1090</v>
      </c>
      <c r="F1244" s="293" t="s">
        <v>782</v>
      </c>
      <c r="G1244" s="293" t="s">
        <v>13217</v>
      </c>
      <c r="H1244" s="296" t="s">
        <v>15855</v>
      </c>
      <c r="I1244" s="297" t="s">
        <v>2429</v>
      </c>
      <c r="J1244" s="297" t="s">
        <v>13605</v>
      </c>
      <c r="K1244" s="298" t="s">
        <v>15855</v>
      </c>
      <c r="L1244" s="298" t="s">
        <v>15855</v>
      </c>
      <c r="M1244" s="298" t="s">
        <v>2334</v>
      </c>
      <c r="N1244" s="298" t="s">
        <v>12438</v>
      </c>
      <c r="O1244" s="298" t="s">
        <v>15855</v>
      </c>
      <c r="P1244" s="299" t="s">
        <v>15857</v>
      </c>
      <c r="Q1244" s="300" t="s">
        <v>15855</v>
      </c>
      <c r="R1244" s="182" t="str">
        <f ca="1">IF(ISERROR($V1244),"",OFFSET('Smelter Look-up'!$C$4,$V1244-4,0)&amp;"")</f>
        <v>Tin Smelting Branch of Yunnan Tin Co., Ltd.</v>
      </c>
      <c r="S1244" s="181" t="str">
        <f t="shared" ref="S1244:S1274" ca="1" si="176">IF(B1244="","",IF(ISERROR(MATCH($E1244,CL,0)),"Unknown",INDIRECT("'C'!$A$"&amp;MATCH($E1244,CL,0)+1)))</f>
        <v>CN</v>
      </c>
      <c r="T1244" s="181" t="str">
        <f ca="1">IF(B1244="","",IF(ISERROR(MATCH($J1244,SorP!$B$1:$B$6226,0)),"",INDIRECT("'SorP'!$A$"&amp;MATCH($S1244&amp;$J1244,SorP!C:C,0))))</f>
        <v>CN-YN</v>
      </c>
      <c r="U1244" s="201"/>
      <c r="V1244" s="226">
        <f>IF(C1244="",NA(),IF(OR(C1244="Smelter not listed",C1244="Smelter not yet identified"),MATCH($B1244&amp;$D1244,'Smelter Look-up'!$J:$J,0),MATCH($B1244&amp;$C1244,'Smelter Look-up'!$J:$J,0)))</f>
        <v>576</v>
      </c>
      <c r="X1244" s="227">
        <f t="shared" ref="X1244:X1274" si="177">IF(AND(C1244="Smelter not listed",OR(LEN(D1244)=0,LEN(E1244)=0)),1,0)</f>
        <v>0</v>
      </c>
      <c r="AB1244" s="228" t="str">
        <f t="shared" ref="AB1244:AB1274" si="178">B1244&amp;C1244</f>
        <v>Tin云南锡业股份有限公司锡业分公司</v>
      </c>
    </row>
    <row r="1245" spans="1:28" s="227" customFormat="1" ht="54">
      <c r="A1245" s="301" t="s">
        <v>13161</v>
      </c>
      <c r="B1245" s="293" t="s">
        <v>1120</v>
      </c>
      <c r="C1245" s="294" t="s">
        <v>13160</v>
      </c>
      <c r="D1245" s="295" t="s">
        <v>13160</v>
      </c>
      <c r="E1245" s="293" t="s">
        <v>2415</v>
      </c>
      <c r="F1245" s="293" t="s">
        <v>13161</v>
      </c>
      <c r="G1245" s="293" t="s">
        <v>13217</v>
      </c>
      <c r="H1245" s="296" t="s">
        <v>15855</v>
      </c>
      <c r="I1245" s="297" t="s">
        <v>13162</v>
      </c>
      <c r="J1245" s="297" t="s">
        <v>1725</v>
      </c>
      <c r="K1245" s="298" t="s">
        <v>15855</v>
      </c>
      <c r="L1245" s="298" t="s">
        <v>15855</v>
      </c>
      <c r="M1245" s="298" t="s">
        <v>15855</v>
      </c>
      <c r="N1245" s="298" t="s">
        <v>15855</v>
      </c>
      <c r="O1245" s="298" t="s">
        <v>15855</v>
      </c>
      <c r="P1245" s="299" t="s">
        <v>15857</v>
      </c>
      <c r="Q1245" s="300" t="s">
        <v>15855</v>
      </c>
      <c r="R1245" s="182" t="str">
        <f ca="1">IF(ISERROR($V1245),"",OFFSET('Smelter Look-up'!$C$4,$V1245-4,0)&amp;"")</f>
        <v>Tin Technology &amp; Refining</v>
      </c>
      <c r="S1245" s="181" t="str">
        <f t="shared" ca="1" si="176"/>
        <v>US</v>
      </c>
      <c r="T1245" s="181" t="str">
        <f ca="1">IF(B1245="","",IF(ISERROR(MATCH($J1245,SorP!$B$1:$B$6226,0)),"",INDIRECT("'SorP'!$A$"&amp;MATCH($S1245&amp;$J1245,SorP!C:C,0))))</f>
        <v>US-PA</v>
      </c>
      <c r="U1245" s="201"/>
      <c r="V1245" s="226">
        <f>IF(C1245="",NA(),IF(OR(C1245="Smelter not listed",C1245="Smelter not yet identified"),MATCH($B1245&amp;$D1245,'Smelter Look-up'!$J:$J,0),MATCH($B1245&amp;$C1245,'Smelter Look-up'!$J:$J,0)))</f>
        <v>551</v>
      </c>
      <c r="X1245" s="227">
        <f t="shared" si="177"/>
        <v>0</v>
      </c>
      <c r="AB1245" s="228" t="str">
        <f t="shared" si="178"/>
        <v>TinTin Technology &amp; Refining</v>
      </c>
    </row>
    <row r="1246" spans="1:28" s="227" customFormat="1" ht="54">
      <c r="A1246" s="301" t="s">
        <v>13161</v>
      </c>
      <c r="B1246" s="293" t="s">
        <v>1120</v>
      </c>
      <c r="C1246" s="294" t="s">
        <v>13160</v>
      </c>
      <c r="D1246" s="295" t="s">
        <v>13160</v>
      </c>
      <c r="E1246" s="293" t="s">
        <v>2415</v>
      </c>
      <c r="F1246" s="293" t="s">
        <v>13161</v>
      </c>
      <c r="G1246" s="293" t="s">
        <v>13217</v>
      </c>
      <c r="H1246" s="296" t="s">
        <v>15855</v>
      </c>
      <c r="I1246" s="297" t="s">
        <v>13162</v>
      </c>
      <c r="J1246" s="297" t="s">
        <v>1725</v>
      </c>
      <c r="K1246" s="298" t="s">
        <v>15855</v>
      </c>
      <c r="L1246" s="298" t="s">
        <v>15855</v>
      </c>
      <c r="M1246" s="298" t="s">
        <v>15855</v>
      </c>
      <c r="N1246" s="298" t="s">
        <v>15855</v>
      </c>
      <c r="O1246" s="298" t="s">
        <v>15858</v>
      </c>
      <c r="P1246" s="299" t="s">
        <v>15857</v>
      </c>
      <c r="Q1246" s="300" t="s">
        <v>15855</v>
      </c>
      <c r="R1246" s="182" t="str">
        <f ca="1">IF(ISERROR($V1246),"",OFFSET('Smelter Look-up'!$C$4,$V1246-4,0)&amp;"")</f>
        <v>Tin Technology &amp; Refining</v>
      </c>
      <c r="S1246" s="181" t="str">
        <f t="shared" ca="1" si="176"/>
        <v>US</v>
      </c>
      <c r="T1246" s="181" t="str">
        <f ca="1">IF(B1246="","",IF(ISERROR(MATCH($J1246,SorP!$B$1:$B$6226,0)),"",INDIRECT("'SorP'!$A$"&amp;MATCH($S1246&amp;$J1246,SorP!C:C,0))))</f>
        <v>US-PA</v>
      </c>
      <c r="U1246" s="201"/>
      <c r="V1246" s="226">
        <f>IF(C1246="",NA(),IF(OR(C1246="Smelter not listed",C1246="Smelter not yet identified"),MATCH($B1246&amp;$D1246,'Smelter Look-up'!$J:$J,0),MATCH($B1246&amp;$C1246,'Smelter Look-up'!$J:$J,0)))</f>
        <v>551</v>
      </c>
      <c r="X1246" s="227">
        <f t="shared" si="177"/>
        <v>0</v>
      </c>
      <c r="AB1246" s="228" t="str">
        <f t="shared" si="178"/>
        <v>TinTin Technology &amp; Refining</v>
      </c>
    </row>
    <row r="1247" spans="1:28" s="227" customFormat="1" ht="54">
      <c r="A1247" s="301" t="s">
        <v>13161</v>
      </c>
      <c r="B1247" s="293" t="s">
        <v>1120</v>
      </c>
      <c r="C1247" s="294" t="s">
        <v>13160</v>
      </c>
      <c r="D1247" s="295" t="s">
        <v>13160</v>
      </c>
      <c r="E1247" s="293" t="s">
        <v>2415</v>
      </c>
      <c r="F1247" s="293" t="s">
        <v>13161</v>
      </c>
      <c r="G1247" s="293" t="s">
        <v>13217</v>
      </c>
      <c r="H1247" s="296" t="s">
        <v>15855</v>
      </c>
      <c r="I1247" s="297" t="s">
        <v>13162</v>
      </c>
      <c r="J1247" s="297" t="s">
        <v>1725</v>
      </c>
      <c r="K1247" s="298" t="s">
        <v>16909</v>
      </c>
      <c r="L1247" s="298" t="s">
        <v>16910</v>
      </c>
      <c r="M1247" s="298" t="s">
        <v>16911</v>
      </c>
      <c r="N1247" s="298" t="s">
        <v>15862</v>
      </c>
      <c r="O1247" s="298" t="s">
        <v>16534</v>
      </c>
      <c r="P1247" s="299" t="s">
        <v>15857</v>
      </c>
      <c r="Q1247" s="300" t="s">
        <v>15855</v>
      </c>
      <c r="R1247" s="182" t="str">
        <f ca="1">IF(ISERROR($V1247),"",OFFSET('Smelter Look-up'!$C$4,$V1247-4,0)&amp;"")</f>
        <v>Tin Technology &amp; Refining</v>
      </c>
      <c r="S1247" s="181" t="str">
        <f t="shared" ca="1" si="176"/>
        <v>US</v>
      </c>
      <c r="T1247" s="181" t="str">
        <f ca="1">IF(B1247="","",IF(ISERROR(MATCH($J1247,SorP!$B$1:$B$6226,0)),"",INDIRECT("'SorP'!$A$"&amp;MATCH($S1247&amp;$J1247,SorP!C:C,0))))</f>
        <v>US-PA</v>
      </c>
      <c r="U1247" s="201"/>
      <c r="V1247" s="226">
        <f>IF(C1247="",NA(),IF(OR(C1247="Smelter not listed",C1247="Smelter not yet identified"),MATCH($B1247&amp;$D1247,'Smelter Look-up'!$J:$J,0),MATCH($B1247&amp;$C1247,'Smelter Look-up'!$J:$J,0)))</f>
        <v>551</v>
      </c>
      <c r="X1247" s="227">
        <f t="shared" si="177"/>
        <v>0</v>
      </c>
      <c r="AB1247" s="228" t="str">
        <f t="shared" si="178"/>
        <v>TinTin Technology &amp; Refining</v>
      </c>
    </row>
    <row r="1248" spans="1:28" s="227" customFormat="1" ht="54">
      <c r="A1248" s="301" t="s">
        <v>13161</v>
      </c>
      <c r="B1248" s="293" t="s">
        <v>1120</v>
      </c>
      <c r="C1248" s="294" t="s">
        <v>13160</v>
      </c>
      <c r="D1248" s="295" t="s">
        <v>13160</v>
      </c>
      <c r="E1248" s="293" t="s">
        <v>2415</v>
      </c>
      <c r="F1248" s="293" t="s">
        <v>13161</v>
      </c>
      <c r="G1248" s="293" t="s">
        <v>13217</v>
      </c>
      <c r="H1248" s="302" t="s">
        <v>15880</v>
      </c>
      <c r="I1248" s="297" t="s">
        <v>13162</v>
      </c>
      <c r="J1248" s="297" t="s">
        <v>1725</v>
      </c>
      <c r="K1248" s="298" t="s">
        <v>15855</v>
      </c>
      <c r="L1248" s="298" t="s">
        <v>15855</v>
      </c>
      <c r="M1248" s="298" t="s">
        <v>15855</v>
      </c>
      <c r="N1248" s="298" t="s">
        <v>15855</v>
      </c>
      <c r="O1248" s="298" t="s">
        <v>15855</v>
      </c>
      <c r="P1248" s="299" t="s">
        <v>15857</v>
      </c>
      <c r="Q1248" s="300" t="s">
        <v>15855</v>
      </c>
      <c r="R1248" s="182" t="str">
        <f ca="1">IF(ISERROR($V1248),"",OFFSET('Smelter Look-up'!$C$4,$V1248-4,0)&amp;"")</f>
        <v>Tin Technology &amp; Refining</v>
      </c>
      <c r="S1248" s="181" t="str">
        <f t="shared" ca="1" si="176"/>
        <v>US</v>
      </c>
      <c r="T1248" s="181" t="str">
        <f ca="1">IF(B1248="","",IF(ISERROR(MATCH($J1248,SorP!$B$1:$B$6226,0)),"",INDIRECT("'SorP'!$A$"&amp;MATCH($S1248&amp;$J1248,SorP!C:C,0))))</f>
        <v>US-PA</v>
      </c>
      <c r="U1248" s="201"/>
      <c r="V1248" s="226">
        <f>IF(C1248="",NA(),IF(OR(C1248="Smelter not listed",C1248="Smelter not yet identified"),MATCH($B1248&amp;$D1248,'Smelter Look-up'!$J:$J,0),MATCH($B1248&amp;$C1248,'Smelter Look-up'!$J:$J,0)))</f>
        <v>551</v>
      </c>
      <c r="X1248" s="227">
        <f t="shared" si="177"/>
        <v>0</v>
      </c>
      <c r="AB1248" s="228" t="str">
        <f t="shared" si="178"/>
        <v>TinTin Technology &amp; Refining</v>
      </c>
    </row>
    <row r="1249" spans="1:28" s="227" customFormat="1" ht="121.5">
      <c r="A1249" s="301" t="s">
        <v>1798</v>
      </c>
      <c r="B1249" s="293" t="s">
        <v>1120</v>
      </c>
      <c r="C1249" s="294" t="s">
        <v>1797</v>
      </c>
      <c r="D1249" s="295" t="s">
        <v>1797</v>
      </c>
      <c r="E1249" s="293" t="s">
        <v>882</v>
      </c>
      <c r="F1249" s="293" t="s">
        <v>1798</v>
      </c>
      <c r="G1249" s="293" t="s">
        <v>13217</v>
      </c>
      <c r="H1249" s="296" t="s">
        <v>15855</v>
      </c>
      <c r="I1249" s="297" t="s">
        <v>1799</v>
      </c>
      <c r="J1249" s="297" t="s">
        <v>12134</v>
      </c>
      <c r="K1249" s="298" t="s">
        <v>15855</v>
      </c>
      <c r="L1249" s="298" t="s">
        <v>15855</v>
      </c>
      <c r="M1249" s="298" t="s">
        <v>15855</v>
      </c>
      <c r="N1249" s="298" t="s">
        <v>15855</v>
      </c>
      <c r="O1249" s="298" t="s">
        <v>15858</v>
      </c>
      <c r="P1249" s="299" t="s">
        <v>15857</v>
      </c>
      <c r="Q1249" s="300" t="s">
        <v>15855</v>
      </c>
      <c r="R1249" s="182" t="str">
        <f ca="1">IF(ISERROR($V1249),"",OFFSET('Smelter Look-up'!$C$4,$V1249-4,0)&amp;"")</f>
        <v>Tuyen Quang Non-Ferrous Metals Joint Stock Company</v>
      </c>
      <c r="S1249" s="181" t="str">
        <f t="shared" ca="1" si="176"/>
        <v>VN</v>
      </c>
      <c r="T1249" s="181" t="str">
        <f ca="1">IF(B1249="","",IF(ISERROR(MATCH($J1249,SorP!$B$1:$B$6226,0)),"",INDIRECT("'SorP'!$A$"&amp;MATCH($S1249&amp;$J1249,SorP!C:C,0))))</f>
        <v>VN-07</v>
      </c>
      <c r="U1249" s="201"/>
      <c r="V1249" s="226">
        <f>IF(C1249="",NA(),IF(OR(C1249="Smelter not listed",C1249="Smelter not yet identified"),MATCH($B1249&amp;$D1249,'Smelter Look-up'!$J:$J,0),MATCH($B1249&amp;$C1249,'Smelter Look-up'!$J:$J,0)))</f>
        <v>553</v>
      </c>
      <c r="X1249" s="227">
        <f t="shared" si="177"/>
        <v>0</v>
      </c>
      <c r="AB1249" s="228" t="str">
        <f t="shared" si="178"/>
        <v>TinTuyen Quang Non-Ferrous Metals Joint Stock Company</v>
      </c>
    </row>
    <row r="1250" spans="1:28" s="227" customFormat="1" ht="81">
      <c r="A1250" s="301" t="s">
        <v>15072</v>
      </c>
      <c r="B1250" s="293" t="s">
        <v>1120</v>
      </c>
      <c r="C1250" s="294" t="s">
        <v>15071</v>
      </c>
      <c r="D1250" s="295" t="s">
        <v>15071</v>
      </c>
      <c r="E1250" s="293" t="s">
        <v>882</v>
      </c>
      <c r="F1250" s="293" t="s">
        <v>15072</v>
      </c>
      <c r="G1250" s="293" t="s">
        <v>13217</v>
      </c>
      <c r="H1250" s="296" t="s">
        <v>15855</v>
      </c>
      <c r="I1250" s="297" t="s">
        <v>15111</v>
      </c>
      <c r="J1250" s="297" t="s">
        <v>12150</v>
      </c>
      <c r="K1250" s="298" t="s">
        <v>15855</v>
      </c>
      <c r="L1250" s="298" t="s">
        <v>15855</v>
      </c>
      <c r="M1250" s="298" t="s">
        <v>15855</v>
      </c>
      <c r="N1250" s="298" t="s">
        <v>15855</v>
      </c>
      <c r="O1250" s="298" t="s">
        <v>15858</v>
      </c>
      <c r="P1250" s="299" t="s">
        <v>15857</v>
      </c>
      <c r="Q1250" s="300" t="s">
        <v>15855</v>
      </c>
      <c r="R1250" s="182" t="str">
        <f ca="1">IF(ISERROR($V1250),"",OFFSET('Smelter Look-up'!$C$4,$V1250-4,0)&amp;"")</f>
        <v>VQB Mineral and Trading Group JSC</v>
      </c>
      <c r="S1250" s="181" t="str">
        <f t="shared" ca="1" si="176"/>
        <v>VN</v>
      </c>
      <c r="T1250" s="181" t="str">
        <f ca="1">IF(B1250="","",IF(ISERROR(MATCH($J1250,SorP!$B$1:$B$6226,0)),"",INDIRECT("'SorP'!$A$"&amp;MATCH($S1250&amp;$J1250,SorP!C:C,0))))</f>
        <v>VN-HN</v>
      </c>
      <c r="U1250" s="201"/>
      <c r="V1250" s="226">
        <f>IF(C1250="",NA(),IF(OR(C1250="Smelter not listed",C1250="Smelter not yet identified"),MATCH($B1250&amp;$D1250,'Smelter Look-up'!$J:$J,0),MATCH($B1250&amp;$C1250,'Smelter Look-up'!$J:$J,0)))</f>
        <v>555</v>
      </c>
      <c r="X1250" s="227">
        <f t="shared" si="177"/>
        <v>0</v>
      </c>
      <c r="AB1250" s="228" t="str">
        <f t="shared" si="178"/>
        <v>TinVQB Mineral and Trading Group JSC</v>
      </c>
    </row>
    <row r="1251" spans="1:28" s="227" customFormat="1" ht="81">
      <c r="A1251" s="301" t="s">
        <v>780</v>
      </c>
      <c r="B1251" s="293" t="s">
        <v>1120</v>
      </c>
      <c r="C1251" s="294" t="s">
        <v>2515</v>
      </c>
      <c r="D1251" s="295" t="s">
        <v>2515</v>
      </c>
      <c r="E1251" s="293" t="s">
        <v>1086</v>
      </c>
      <c r="F1251" s="293" t="s">
        <v>780</v>
      </c>
      <c r="G1251" s="293" t="s">
        <v>13217</v>
      </c>
      <c r="H1251" s="296" t="s">
        <v>15855</v>
      </c>
      <c r="I1251" s="297" t="s">
        <v>1752</v>
      </c>
      <c r="J1251" s="297" t="s">
        <v>1756</v>
      </c>
      <c r="K1251" s="298" t="s">
        <v>15855</v>
      </c>
      <c r="L1251" s="298" t="s">
        <v>15855</v>
      </c>
      <c r="M1251" s="298" t="s">
        <v>15855</v>
      </c>
      <c r="N1251" s="298" t="s">
        <v>15855</v>
      </c>
      <c r="O1251" s="298" t="s">
        <v>15855</v>
      </c>
      <c r="P1251" s="299" t="s">
        <v>15857</v>
      </c>
      <c r="Q1251" s="300" t="s">
        <v>15855</v>
      </c>
      <c r="R1251" s="182" t="str">
        <f ca="1">IF(ISERROR($V1251),"",OFFSET('Smelter Look-up'!$C$4,$V1251-4,0)&amp;"")</f>
        <v>White Solder Metalurgia e Mineracao Ltda.</v>
      </c>
      <c r="S1251" s="181" t="str">
        <f t="shared" ca="1" si="176"/>
        <v>BR</v>
      </c>
      <c r="T1251" s="181" t="str">
        <f ca="1">IF(B1251="","",IF(ISERROR(MATCH($J1251,SorP!$B$1:$B$6226,0)),"",INDIRECT("'SorP'!$A$"&amp;MATCH($S1251&amp;$J1251,SorP!C:C,0))))</f>
        <v>BR-RO</v>
      </c>
      <c r="U1251" s="201"/>
      <c r="V1251" s="226">
        <f>IF(C1251="",NA(),IF(OR(C1251="Smelter not listed",C1251="Smelter not yet identified"),MATCH($B1251&amp;$D1251,'Smelter Look-up'!$J:$J,0),MATCH($B1251&amp;$C1251,'Smelter Look-up'!$J:$J,0)))</f>
        <v>556</v>
      </c>
      <c r="X1251" s="227">
        <f t="shared" si="177"/>
        <v>0</v>
      </c>
      <c r="AB1251" s="228" t="str">
        <f t="shared" si="178"/>
        <v>TinWhite Solder Metalurgia e Mineracao Ltda.</v>
      </c>
    </row>
    <row r="1252" spans="1:28" s="227" customFormat="1" ht="81">
      <c r="A1252" s="301" t="s">
        <v>780</v>
      </c>
      <c r="B1252" s="293" t="s">
        <v>1120</v>
      </c>
      <c r="C1252" s="294" t="s">
        <v>2515</v>
      </c>
      <c r="D1252" s="295" t="s">
        <v>2515</v>
      </c>
      <c r="E1252" s="293" t="s">
        <v>1086</v>
      </c>
      <c r="F1252" s="293" t="s">
        <v>780</v>
      </c>
      <c r="G1252" s="293" t="s">
        <v>13217</v>
      </c>
      <c r="H1252" s="296" t="s">
        <v>15855</v>
      </c>
      <c r="I1252" s="297" t="s">
        <v>1752</v>
      </c>
      <c r="J1252" s="297" t="s">
        <v>1756</v>
      </c>
      <c r="K1252" s="298" t="s">
        <v>15855</v>
      </c>
      <c r="L1252" s="298" t="s">
        <v>15855</v>
      </c>
      <c r="M1252" s="298" t="s">
        <v>15855</v>
      </c>
      <c r="N1252" s="298" t="s">
        <v>15855</v>
      </c>
      <c r="O1252" s="298" t="s">
        <v>15855</v>
      </c>
      <c r="P1252" s="299" t="s">
        <v>15857</v>
      </c>
      <c r="Q1252" s="300" t="s">
        <v>16531</v>
      </c>
      <c r="R1252" s="182" t="str">
        <f ca="1">IF(ISERROR($V1252),"",OFFSET('Smelter Look-up'!$C$4,$V1252-4,0)&amp;"")</f>
        <v>White Solder Metalurgia e Mineracao Ltda.</v>
      </c>
      <c r="S1252" s="181" t="str">
        <f t="shared" ca="1" si="176"/>
        <v>BR</v>
      </c>
      <c r="T1252" s="181" t="str">
        <f ca="1">IF(B1252="","",IF(ISERROR(MATCH($J1252,SorP!$B$1:$B$6226,0)),"",INDIRECT("'SorP'!$A$"&amp;MATCH($S1252&amp;$J1252,SorP!C:C,0))))</f>
        <v>BR-RO</v>
      </c>
      <c r="U1252" s="201"/>
      <c r="V1252" s="226">
        <f>IF(C1252="",NA(),IF(OR(C1252="Smelter not listed",C1252="Smelter not yet identified"),MATCH($B1252&amp;$D1252,'Smelter Look-up'!$J:$J,0),MATCH($B1252&amp;$C1252,'Smelter Look-up'!$J:$J,0)))</f>
        <v>556</v>
      </c>
      <c r="X1252" s="227">
        <f t="shared" si="177"/>
        <v>0</v>
      </c>
      <c r="AB1252" s="228" t="str">
        <f t="shared" si="178"/>
        <v>TinWhite Solder Metalurgia e Mineracao Ltda.</v>
      </c>
    </row>
    <row r="1253" spans="1:28" s="227" customFormat="1" ht="81">
      <c r="A1253" s="301" t="s">
        <v>780</v>
      </c>
      <c r="B1253" s="293" t="s">
        <v>1120</v>
      </c>
      <c r="C1253" s="294" t="s">
        <v>2515</v>
      </c>
      <c r="D1253" s="295" t="s">
        <v>2515</v>
      </c>
      <c r="E1253" s="293" t="s">
        <v>1086</v>
      </c>
      <c r="F1253" s="293" t="s">
        <v>780</v>
      </c>
      <c r="G1253" s="293" t="s">
        <v>13217</v>
      </c>
      <c r="H1253" s="296" t="s">
        <v>15855</v>
      </c>
      <c r="I1253" s="297" t="s">
        <v>1752</v>
      </c>
      <c r="J1253" s="297" t="s">
        <v>1756</v>
      </c>
      <c r="K1253" s="298" t="s">
        <v>15855</v>
      </c>
      <c r="L1253" s="298" t="s">
        <v>15855</v>
      </c>
      <c r="M1253" s="298" t="s">
        <v>15855</v>
      </c>
      <c r="N1253" s="298" t="s">
        <v>15855</v>
      </c>
      <c r="O1253" s="298" t="s">
        <v>16912</v>
      </c>
      <c r="P1253" s="299" t="s">
        <v>15857</v>
      </c>
      <c r="Q1253" s="300" t="s">
        <v>15855</v>
      </c>
      <c r="R1253" s="182" t="str">
        <f ca="1">IF(ISERROR($V1253),"",OFFSET('Smelter Look-up'!$C$4,$V1253-4,0)&amp;"")</f>
        <v>White Solder Metalurgia e Mineracao Ltda.</v>
      </c>
      <c r="S1253" s="181" t="str">
        <f t="shared" ca="1" si="176"/>
        <v>BR</v>
      </c>
      <c r="T1253" s="181" t="str">
        <f ca="1">IF(B1253="","",IF(ISERROR(MATCH($J1253,SorP!$B$1:$B$6226,0)),"",INDIRECT("'SorP'!$A$"&amp;MATCH($S1253&amp;$J1253,SorP!C:C,0))))</f>
        <v>BR-RO</v>
      </c>
      <c r="U1253" s="201"/>
      <c r="V1253" s="226">
        <f>IF(C1253="",NA(),IF(OR(C1253="Smelter not listed",C1253="Smelter not yet identified"),MATCH($B1253&amp;$D1253,'Smelter Look-up'!$J:$J,0),MATCH($B1253&amp;$C1253,'Smelter Look-up'!$J:$J,0)))</f>
        <v>556</v>
      </c>
      <c r="X1253" s="227">
        <f t="shared" si="177"/>
        <v>0</v>
      </c>
      <c r="AB1253" s="228" t="str">
        <f t="shared" si="178"/>
        <v>TinWhite Solder Metalurgia e Mineracao Ltda.</v>
      </c>
    </row>
    <row r="1254" spans="1:28" s="227" customFormat="1" ht="81">
      <c r="A1254" s="301" t="s">
        <v>780</v>
      </c>
      <c r="B1254" s="293" t="s">
        <v>1120</v>
      </c>
      <c r="C1254" s="294" t="s">
        <v>2515</v>
      </c>
      <c r="D1254" s="295" t="s">
        <v>2515</v>
      </c>
      <c r="E1254" s="293" t="s">
        <v>1086</v>
      </c>
      <c r="F1254" s="293" t="s">
        <v>780</v>
      </c>
      <c r="G1254" s="293" t="s">
        <v>13217</v>
      </c>
      <c r="H1254" s="296" t="s">
        <v>15855</v>
      </c>
      <c r="I1254" s="297" t="s">
        <v>1752</v>
      </c>
      <c r="J1254" s="297" t="s">
        <v>1756</v>
      </c>
      <c r="K1254" s="298" t="s">
        <v>16913</v>
      </c>
      <c r="L1254" s="298" t="s">
        <v>16914</v>
      </c>
      <c r="M1254" s="298" t="s">
        <v>15869</v>
      </c>
      <c r="N1254" s="298" t="s">
        <v>16915</v>
      </c>
      <c r="O1254" s="298" t="s">
        <v>16619</v>
      </c>
      <c r="P1254" s="299" t="s">
        <v>15857</v>
      </c>
      <c r="Q1254" s="300" t="s">
        <v>15855</v>
      </c>
      <c r="R1254" s="182" t="str">
        <f ca="1">IF(ISERROR($V1254),"",OFFSET('Smelter Look-up'!$C$4,$V1254-4,0)&amp;"")</f>
        <v>White Solder Metalurgia e Mineracao Ltda.</v>
      </c>
      <c r="S1254" s="181" t="str">
        <f t="shared" ca="1" si="176"/>
        <v>BR</v>
      </c>
      <c r="T1254" s="181" t="str">
        <f ca="1">IF(B1254="","",IF(ISERROR(MATCH($J1254,SorP!$B$1:$B$6226,0)),"",INDIRECT("'SorP'!$A$"&amp;MATCH($S1254&amp;$J1254,SorP!C:C,0))))</f>
        <v>BR-RO</v>
      </c>
      <c r="U1254" s="201"/>
      <c r="V1254" s="226">
        <f>IF(C1254="",NA(),IF(OR(C1254="Smelter not listed",C1254="Smelter not yet identified"),MATCH($B1254&amp;$D1254,'Smelter Look-up'!$J:$J,0),MATCH($B1254&amp;$C1254,'Smelter Look-up'!$J:$J,0)))</f>
        <v>556</v>
      </c>
      <c r="X1254" s="227">
        <f t="shared" si="177"/>
        <v>0</v>
      </c>
      <c r="AB1254" s="228" t="str">
        <f t="shared" si="178"/>
        <v>TinWhite Solder Metalurgia e Mineracao Ltda.</v>
      </c>
    </row>
    <row r="1255" spans="1:28" s="227" customFormat="1" ht="81">
      <c r="A1255" s="301" t="s">
        <v>780</v>
      </c>
      <c r="B1255" s="293" t="s">
        <v>1120</v>
      </c>
      <c r="C1255" s="294" t="s">
        <v>2515</v>
      </c>
      <c r="D1255" s="295" t="s">
        <v>2515</v>
      </c>
      <c r="E1255" s="293" t="s">
        <v>1086</v>
      </c>
      <c r="F1255" s="293" t="s">
        <v>780</v>
      </c>
      <c r="G1255" s="293" t="s">
        <v>13217</v>
      </c>
      <c r="H1255" s="302" t="s">
        <v>15880</v>
      </c>
      <c r="I1255" s="297" t="s">
        <v>1752</v>
      </c>
      <c r="J1255" s="297" t="s">
        <v>1756</v>
      </c>
      <c r="K1255" s="298" t="s">
        <v>15855</v>
      </c>
      <c r="L1255" s="298" t="s">
        <v>15855</v>
      </c>
      <c r="M1255" s="298" t="s">
        <v>15855</v>
      </c>
      <c r="N1255" s="298" t="s">
        <v>15855</v>
      </c>
      <c r="O1255" s="298" t="s">
        <v>15855</v>
      </c>
      <c r="P1255" s="299" t="s">
        <v>15857</v>
      </c>
      <c r="Q1255" s="300" t="s">
        <v>15855</v>
      </c>
      <c r="R1255" s="182" t="str">
        <f ca="1">IF(ISERROR($V1255),"",OFFSET('Smelter Look-up'!$C$4,$V1255-4,0)&amp;"")</f>
        <v>White Solder Metalurgia e Mineracao Ltda.</v>
      </c>
      <c r="S1255" s="181" t="str">
        <f t="shared" ca="1" si="176"/>
        <v>BR</v>
      </c>
      <c r="T1255" s="181" t="str">
        <f ca="1">IF(B1255="","",IF(ISERROR(MATCH($J1255,SorP!$B$1:$B$6226,0)),"",INDIRECT("'SorP'!$A$"&amp;MATCH($S1255&amp;$J1255,SorP!C:C,0))))</f>
        <v>BR-RO</v>
      </c>
      <c r="U1255" s="201"/>
      <c r="V1255" s="226">
        <f>IF(C1255="",NA(),IF(OR(C1255="Smelter not listed",C1255="Smelter not yet identified"),MATCH($B1255&amp;$D1255,'Smelter Look-up'!$J:$J,0),MATCH($B1255&amp;$C1255,'Smelter Look-up'!$J:$J,0)))</f>
        <v>556</v>
      </c>
      <c r="X1255" s="227">
        <f t="shared" si="177"/>
        <v>0</v>
      </c>
      <c r="AB1255" s="228" t="str">
        <f t="shared" si="178"/>
        <v>TinWhite Solder Metalurgia e Mineracao Ltda.</v>
      </c>
    </row>
    <row r="1256" spans="1:28" s="227" customFormat="1" ht="81">
      <c r="A1256" s="301" t="s">
        <v>780</v>
      </c>
      <c r="B1256" s="293" t="s">
        <v>1120</v>
      </c>
      <c r="C1256" s="294" t="s">
        <v>2515</v>
      </c>
      <c r="D1256" s="295" t="s">
        <v>2515</v>
      </c>
      <c r="E1256" s="293" t="s">
        <v>1086</v>
      </c>
      <c r="F1256" s="293" t="s">
        <v>780</v>
      </c>
      <c r="G1256" s="293" t="s">
        <v>13217</v>
      </c>
      <c r="H1256" s="296" t="s">
        <v>16916</v>
      </c>
      <c r="I1256" s="297" t="s">
        <v>1752</v>
      </c>
      <c r="J1256" s="297" t="s">
        <v>1756</v>
      </c>
      <c r="K1256" s="298" t="s">
        <v>16917</v>
      </c>
      <c r="L1256" s="298" t="s">
        <v>16918</v>
      </c>
      <c r="M1256" s="298" t="s">
        <v>16562</v>
      </c>
      <c r="N1256" s="298" t="s">
        <v>16915</v>
      </c>
      <c r="O1256" s="298" t="s">
        <v>16919</v>
      </c>
      <c r="P1256" s="299" t="s">
        <v>15857</v>
      </c>
      <c r="Q1256" s="300" t="s">
        <v>16920</v>
      </c>
      <c r="R1256" s="182" t="str">
        <f ca="1">IF(ISERROR($V1256),"",OFFSET('Smelter Look-up'!$C$4,$V1256-4,0)&amp;"")</f>
        <v>White Solder Metalurgia e Mineracao Ltda.</v>
      </c>
      <c r="S1256" s="181" t="str">
        <f t="shared" ca="1" si="176"/>
        <v>BR</v>
      </c>
      <c r="T1256" s="181" t="str">
        <f ca="1">IF(B1256="","",IF(ISERROR(MATCH($J1256,SorP!$B$1:$B$6226,0)),"",INDIRECT("'SorP'!$A$"&amp;MATCH($S1256&amp;$J1256,SorP!C:C,0))))</f>
        <v>BR-RO</v>
      </c>
      <c r="U1256" s="201"/>
      <c r="V1256" s="226">
        <f>IF(C1256="",NA(),IF(OR(C1256="Smelter not listed",C1256="Smelter not yet identified"),MATCH($B1256&amp;$D1256,'Smelter Look-up'!$J:$J,0),MATCH($B1256&amp;$C1256,'Smelter Look-up'!$J:$J,0)))</f>
        <v>556</v>
      </c>
      <c r="X1256" s="227">
        <f t="shared" si="177"/>
        <v>0</v>
      </c>
      <c r="AB1256" s="228" t="str">
        <f t="shared" si="178"/>
        <v>TinWhite Solder Metalurgia e Mineracao Ltda.</v>
      </c>
    </row>
    <row r="1257" spans="1:28" s="227" customFormat="1" ht="67.5">
      <c r="A1257" s="301" t="s">
        <v>781</v>
      </c>
      <c r="B1257" s="293" t="s">
        <v>1120</v>
      </c>
      <c r="C1257" s="294" t="s">
        <v>2210</v>
      </c>
      <c r="D1257" s="295" t="s">
        <v>2150</v>
      </c>
      <c r="E1257" s="293" t="s">
        <v>1090</v>
      </c>
      <c r="F1257" s="293" t="s">
        <v>781</v>
      </c>
      <c r="G1257" s="293" t="s">
        <v>15865</v>
      </c>
      <c r="H1257" s="296" t="s">
        <v>15855</v>
      </c>
      <c r="I1257" s="297" t="s">
        <v>2429</v>
      </c>
      <c r="J1257" s="297" t="s">
        <v>16594</v>
      </c>
      <c r="K1257" s="298" t="s">
        <v>15855</v>
      </c>
      <c r="L1257" s="298" t="s">
        <v>15855</v>
      </c>
      <c r="M1257" s="298" t="s">
        <v>15855</v>
      </c>
      <c r="N1257" s="298" t="s">
        <v>15855</v>
      </c>
      <c r="O1257" s="298" t="s">
        <v>15855</v>
      </c>
      <c r="P1257" s="299" t="s">
        <v>15857</v>
      </c>
      <c r="Q1257" s="300" t="s">
        <v>15855</v>
      </c>
      <c r="R1257" s="182" t="str">
        <f ca="1">IF(ISERROR($V1257),"",OFFSET('Smelter Look-up'!$C$4,$V1257-4,0)&amp;"")</f>
        <v>Yunnan Chengfeng Non-ferrous Metals Co., Ltd.</v>
      </c>
      <c r="S1257" s="181" t="str">
        <f t="shared" ca="1" si="176"/>
        <v>CN</v>
      </c>
      <c r="T1257" s="181" t="str">
        <f ca="1">IF(B1257="","",IF(ISERROR(MATCH($J1257,SorP!$B$1:$B$6226,0)),"",INDIRECT("'SorP'!$A$"&amp;MATCH($S1257&amp;$J1257,SorP!C:C,0))))</f>
        <v/>
      </c>
      <c r="U1257" s="201"/>
      <c r="V1257" s="226">
        <f>IF(C1257="",NA(),IF(OR(C1257="Smelter not listed",C1257="Smelter not yet identified"),MATCH($B1257&amp;$D1257,'Smelter Look-up'!$J:$J,0),MATCH($B1257&amp;$C1257,'Smelter Look-up'!$J:$J,0)))</f>
        <v>409</v>
      </c>
      <c r="X1257" s="227">
        <f t="shared" si="177"/>
        <v>0</v>
      </c>
      <c r="AB1257" s="228" t="str">
        <f t="shared" si="178"/>
        <v>TinChengfeng Metals Co Pte Ltd</v>
      </c>
    </row>
    <row r="1258" spans="1:28" s="227" customFormat="1" ht="81">
      <c r="A1258" s="301" t="s">
        <v>781</v>
      </c>
      <c r="B1258" s="293" t="s">
        <v>1120</v>
      </c>
      <c r="C1258" s="294" t="s">
        <v>13254</v>
      </c>
      <c r="D1258" s="295" t="s">
        <v>2150</v>
      </c>
      <c r="E1258" s="293" t="s">
        <v>1090</v>
      </c>
      <c r="F1258" s="293" t="s">
        <v>781</v>
      </c>
      <c r="G1258" s="293" t="s">
        <v>13217</v>
      </c>
      <c r="H1258" s="296" t="s">
        <v>15855</v>
      </c>
      <c r="I1258" s="297" t="s">
        <v>2429</v>
      </c>
      <c r="J1258" s="297" t="s">
        <v>13605</v>
      </c>
      <c r="K1258" s="298" t="s">
        <v>15855</v>
      </c>
      <c r="L1258" s="298" t="s">
        <v>15855</v>
      </c>
      <c r="M1258" s="298" t="s">
        <v>15855</v>
      </c>
      <c r="N1258" s="298" t="s">
        <v>15855</v>
      </c>
      <c r="O1258" s="298" t="s">
        <v>15855</v>
      </c>
      <c r="P1258" s="299" t="s">
        <v>15857</v>
      </c>
      <c r="Q1258" s="300" t="s">
        <v>15855</v>
      </c>
      <c r="R1258" s="182" t="str">
        <f ca="1">IF(ISERROR($V1258),"",OFFSET('Smelter Look-up'!$C$4,$V1258-4,0)&amp;"")</f>
        <v>Yunnan Chengfeng Non-ferrous Metals Co., Ltd.</v>
      </c>
      <c r="S1258" s="181" t="str">
        <f t="shared" ca="1" si="176"/>
        <v>CN</v>
      </c>
      <c r="T1258" s="181" t="str">
        <f ca="1">IF(B1258="","",IF(ISERROR(MATCH($J1258,SorP!$B$1:$B$6226,0)),"",INDIRECT("'SorP'!$A$"&amp;MATCH($S1258&amp;$J1258,SorP!C:C,0))))</f>
        <v>CN-YN</v>
      </c>
      <c r="U1258" s="201"/>
      <c r="V1258" s="226">
        <f>IF(C1258="",NA(),IF(OR(C1258="Smelter not listed",C1258="Smelter not yet identified"),MATCH($B1258&amp;$D1258,'Smelter Look-up'!$J:$J,0),MATCH($B1258&amp;$C1258,'Smelter Look-up'!$J:$J,0)))</f>
        <v>444</v>
      </c>
      <c r="X1258" s="227">
        <f t="shared" si="177"/>
        <v>0</v>
      </c>
      <c r="AB1258" s="228" t="str">
        <f t="shared" si="178"/>
        <v>TinGejiu City Datun Chengfeng Smelter</v>
      </c>
    </row>
    <row r="1259" spans="1:28" s="227" customFormat="1" ht="67.5">
      <c r="A1259" s="301" t="s">
        <v>781</v>
      </c>
      <c r="B1259" s="293" t="s">
        <v>1120</v>
      </c>
      <c r="C1259" s="294" t="s">
        <v>1789</v>
      </c>
      <c r="D1259" s="295" t="s">
        <v>2150</v>
      </c>
      <c r="E1259" s="293" t="s">
        <v>1090</v>
      </c>
      <c r="F1259" s="293" t="s">
        <v>781</v>
      </c>
      <c r="G1259" s="293" t="s">
        <v>13217</v>
      </c>
      <c r="H1259" s="296" t="s">
        <v>15855</v>
      </c>
      <c r="I1259" s="297" t="s">
        <v>2429</v>
      </c>
      <c r="J1259" s="297" t="s">
        <v>13605</v>
      </c>
      <c r="K1259" s="298" t="s">
        <v>15855</v>
      </c>
      <c r="L1259" s="298" t="s">
        <v>15855</v>
      </c>
      <c r="M1259" s="298" t="s">
        <v>15855</v>
      </c>
      <c r="N1259" s="298" t="s">
        <v>15855</v>
      </c>
      <c r="O1259" s="298" t="s">
        <v>15855</v>
      </c>
      <c r="P1259" s="299" t="s">
        <v>15857</v>
      </c>
      <c r="Q1259" s="300" t="s">
        <v>15855</v>
      </c>
      <c r="R1259" s="182" t="str">
        <f ca="1">IF(ISERROR($V1259),"",OFFSET('Smelter Look-up'!$C$4,$V1259-4,0)&amp;"")</f>
        <v>Yunnan Chengfeng Non-ferrous Metals Co., Ltd.</v>
      </c>
      <c r="S1259" s="181" t="str">
        <f t="shared" ca="1" si="176"/>
        <v>CN</v>
      </c>
      <c r="T1259" s="181" t="str">
        <f ca="1">IF(B1259="","",IF(ISERROR(MATCH($J1259,SorP!$B$1:$B$6226,0)),"",INDIRECT("'SorP'!$A$"&amp;MATCH($S1259&amp;$J1259,SorP!C:C,0))))</f>
        <v>CN-YN</v>
      </c>
      <c r="U1259" s="201"/>
      <c r="V1259" s="226">
        <f>IF(C1259="",NA(),IF(OR(C1259="Smelter not listed",C1259="Smelter not yet identified"),MATCH($B1259&amp;$D1259,'Smelter Look-up'!$J:$J,0),MATCH($B1259&amp;$C1259,'Smelter Look-up'!$J:$J,0)))</f>
        <v>563</v>
      </c>
      <c r="X1259" s="227">
        <f t="shared" si="177"/>
        <v>0</v>
      </c>
      <c r="AB1259" s="228" t="str">
        <f t="shared" si="178"/>
        <v>TinYunnan Adventure Co., Ltd.</v>
      </c>
    </row>
    <row r="1260" spans="1:28" s="227" customFormat="1" ht="54">
      <c r="A1260" s="301" t="s">
        <v>781</v>
      </c>
      <c r="B1260" s="293" t="s">
        <v>1120</v>
      </c>
      <c r="C1260" s="294" t="s">
        <v>2220</v>
      </c>
      <c r="D1260" s="295" t="s">
        <v>2150</v>
      </c>
      <c r="E1260" s="293" t="s">
        <v>1090</v>
      </c>
      <c r="F1260" s="293" t="s">
        <v>781</v>
      </c>
      <c r="G1260" s="293" t="s">
        <v>13217</v>
      </c>
      <c r="H1260" s="296" t="s">
        <v>15855</v>
      </c>
      <c r="I1260" s="297" t="s">
        <v>2429</v>
      </c>
      <c r="J1260" s="297" t="s">
        <v>13605</v>
      </c>
      <c r="K1260" s="298" t="s">
        <v>15855</v>
      </c>
      <c r="L1260" s="298" t="s">
        <v>15855</v>
      </c>
      <c r="M1260" s="298" t="s">
        <v>15855</v>
      </c>
      <c r="N1260" s="298" t="s">
        <v>15855</v>
      </c>
      <c r="O1260" s="298" t="s">
        <v>15855</v>
      </c>
      <c r="P1260" s="299" t="s">
        <v>15857</v>
      </c>
      <c r="Q1260" s="300" t="s">
        <v>15855</v>
      </c>
      <c r="R1260" s="182" t="str">
        <f ca="1">IF(ISERROR($V1260),"",OFFSET('Smelter Look-up'!$C$4,$V1260-4,0)&amp;"")</f>
        <v>Yunnan Chengfeng Non-ferrous Metals Co., Ltd.</v>
      </c>
      <c r="S1260" s="181" t="str">
        <f t="shared" ca="1" si="176"/>
        <v>CN</v>
      </c>
      <c r="T1260" s="181" t="str">
        <f ca="1">IF(B1260="","",IF(ISERROR(MATCH($J1260,SorP!$B$1:$B$6226,0)),"",INDIRECT("'SorP'!$A$"&amp;MATCH($S1260&amp;$J1260,SorP!C:C,0))))</f>
        <v>CN-YN</v>
      </c>
      <c r="U1260" s="201"/>
      <c r="V1260" s="226">
        <f>IF(C1260="",NA(),IF(OR(C1260="Smelter not listed",C1260="Smelter not yet identified"),MATCH($B1260&amp;$D1260,'Smelter Look-up'!$J:$J,0),MATCH($B1260&amp;$C1260,'Smelter Look-up'!$J:$J,0)))</f>
        <v>564</v>
      </c>
      <c r="X1260" s="227">
        <f t="shared" si="177"/>
        <v>0</v>
      </c>
      <c r="AB1260" s="228" t="str">
        <f t="shared" si="178"/>
        <v>TinYunnan Chengfeng</v>
      </c>
    </row>
    <row r="1261" spans="1:28" s="227" customFormat="1" ht="54">
      <c r="A1261" s="301" t="s">
        <v>781</v>
      </c>
      <c r="B1261" s="293" t="s">
        <v>1120</v>
      </c>
      <c r="C1261" s="294" t="s">
        <v>2220</v>
      </c>
      <c r="D1261" s="295" t="s">
        <v>2150</v>
      </c>
      <c r="E1261" s="293" t="s">
        <v>1090</v>
      </c>
      <c r="F1261" s="293" t="s">
        <v>781</v>
      </c>
      <c r="G1261" s="293" t="s">
        <v>13217</v>
      </c>
      <c r="H1261" s="296" t="s">
        <v>15855</v>
      </c>
      <c r="I1261" s="297" t="s">
        <v>2429</v>
      </c>
      <c r="J1261" s="297" t="s">
        <v>13605</v>
      </c>
      <c r="K1261" s="298" t="s">
        <v>15855</v>
      </c>
      <c r="L1261" s="298" t="s">
        <v>15855</v>
      </c>
      <c r="M1261" s="298" t="s">
        <v>15855</v>
      </c>
      <c r="N1261" s="298" t="s">
        <v>15855</v>
      </c>
      <c r="O1261" s="298" t="s">
        <v>15855</v>
      </c>
      <c r="P1261" s="299" t="s">
        <v>15875</v>
      </c>
      <c r="Q1261" s="300" t="s">
        <v>15855</v>
      </c>
      <c r="R1261" s="182" t="str">
        <f ca="1">IF(ISERROR($V1261),"",OFFSET('Smelter Look-up'!$C$4,$V1261-4,0)&amp;"")</f>
        <v>Yunnan Chengfeng Non-ferrous Metals Co., Ltd.</v>
      </c>
      <c r="S1261" s="181" t="str">
        <f t="shared" ca="1" si="176"/>
        <v>CN</v>
      </c>
      <c r="T1261" s="181" t="str">
        <f ca="1">IF(B1261="","",IF(ISERROR(MATCH($J1261,SorP!$B$1:$B$6226,0)),"",INDIRECT("'SorP'!$A$"&amp;MATCH($S1261&amp;$J1261,SorP!C:C,0))))</f>
        <v>CN-YN</v>
      </c>
      <c r="U1261" s="201"/>
      <c r="V1261" s="226">
        <f>IF(C1261="",NA(),IF(OR(C1261="Smelter not listed",C1261="Smelter not yet identified"),MATCH($B1261&amp;$D1261,'Smelter Look-up'!$J:$J,0),MATCH($B1261&amp;$C1261,'Smelter Look-up'!$J:$J,0)))</f>
        <v>564</v>
      </c>
      <c r="X1261" s="227">
        <f t="shared" si="177"/>
        <v>0</v>
      </c>
      <c r="AB1261" s="228" t="str">
        <f t="shared" si="178"/>
        <v>TinYunnan Chengfeng</v>
      </c>
    </row>
    <row r="1262" spans="1:28" s="227" customFormat="1" ht="54">
      <c r="A1262" s="301" t="s">
        <v>781</v>
      </c>
      <c r="B1262" s="293" t="s">
        <v>1120</v>
      </c>
      <c r="C1262" s="294" t="s">
        <v>2220</v>
      </c>
      <c r="D1262" s="295" t="s">
        <v>2150</v>
      </c>
      <c r="E1262" s="293" t="s">
        <v>1090</v>
      </c>
      <c r="F1262" s="293" t="s">
        <v>781</v>
      </c>
      <c r="G1262" s="293" t="s">
        <v>13217</v>
      </c>
      <c r="H1262" s="296" t="s">
        <v>15855</v>
      </c>
      <c r="I1262" s="297" t="s">
        <v>2429</v>
      </c>
      <c r="J1262" s="297" t="s">
        <v>13605</v>
      </c>
      <c r="K1262" s="298" t="s">
        <v>16921</v>
      </c>
      <c r="L1262" s="298" t="s">
        <v>16922</v>
      </c>
      <c r="M1262" s="298" t="s">
        <v>12438</v>
      </c>
      <c r="N1262" s="298" t="s">
        <v>16923</v>
      </c>
      <c r="O1262" s="298" t="s">
        <v>15989</v>
      </c>
      <c r="P1262" s="299" t="s">
        <v>15857</v>
      </c>
      <c r="Q1262" s="300" t="s">
        <v>15855</v>
      </c>
      <c r="R1262" s="182" t="str">
        <f ca="1">IF(ISERROR($V1262),"",OFFSET('Smelter Look-up'!$C$4,$V1262-4,0)&amp;"")</f>
        <v>Yunnan Chengfeng Non-ferrous Metals Co., Ltd.</v>
      </c>
      <c r="S1262" s="181" t="str">
        <f t="shared" ca="1" si="176"/>
        <v>CN</v>
      </c>
      <c r="T1262" s="181" t="str">
        <f ca="1">IF(B1262="","",IF(ISERROR(MATCH($J1262,SorP!$B$1:$B$6226,0)),"",INDIRECT("'SorP'!$A$"&amp;MATCH($S1262&amp;$J1262,SorP!C:C,0))))</f>
        <v>CN-YN</v>
      </c>
      <c r="U1262" s="201"/>
      <c r="V1262" s="226">
        <f>IF(C1262="",NA(),IF(OR(C1262="Smelter not listed",C1262="Smelter not yet identified"),MATCH($B1262&amp;$D1262,'Smelter Look-up'!$J:$J,0),MATCH($B1262&amp;$C1262,'Smelter Look-up'!$J:$J,0)))</f>
        <v>564</v>
      </c>
      <c r="X1262" s="227">
        <f t="shared" si="177"/>
        <v>0</v>
      </c>
      <c r="AB1262" s="228" t="str">
        <f t="shared" si="178"/>
        <v>TinYunnan Chengfeng</v>
      </c>
    </row>
    <row r="1263" spans="1:28" s="227" customFormat="1" ht="54">
      <c r="A1263" s="301" t="s">
        <v>781</v>
      </c>
      <c r="B1263" s="293" t="s">
        <v>1120</v>
      </c>
      <c r="C1263" s="294" t="s">
        <v>2220</v>
      </c>
      <c r="D1263" s="295" t="s">
        <v>2150</v>
      </c>
      <c r="E1263" s="293" t="s">
        <v>1090</v>
      </c>
      <c r="F1263" s="293" t="s">
        <v>781</v>
      </c>
      <c r="G1263" s="293" t="s">
        <v>13217</v>
      </c>
      <c r="H1263" s="296" t="s">
        <v>15855</v>
      </c>
      <c r="I1263" s="297" t="s">
        <v>2429</v>
      </c>
      <c r="J1263" s="297" t="s">
        <v>13605</v>
      </c>
      <c r="K1263" s="298" t="s">
        <v>16921</v>
      </c>
      <c r="L1263" s="298" t="s">
        <v>16922</v>
      </c>
      <c r="M1263" s="298" t="s">
        <v>12438</v>
      </c>
      <c r="N1263" s="298" t="s">
        <v>16923</v>
      </c>
      <c r="O1263" s="298" t="s">
        <v>15989</v>
      </c>
      <c r="P1263" s="299" t="s">
        <v>15857</v>
      </c>
      <c r="Q1263" s="300" t="s">
        <v>16245</v>
      </c>
      <c r="R1263" s="182" t="str">
        <f ca="1">IF(ISERROR($V1263),"",OFFSET('Smelter Look-up'!$C$4,$V1263-4,0)&amp;"")</f>
        <v>Yunnan Chengfeng Non-ferrous Metals Co., Ltd.</v>
      </c>
      <c r="S1263" s="181" t="str">
        <f t="shared" ca="1" si="176"/>
        <v>CN</v>
      </c>
      <c r="T1263" s="181" t="str">
        <f ca="1">IF(B1263="","",IF(ISERROR(MATCH($J1263,SorP!$B$1:$B$6226,0)),"",INDIRECT("'SorP'!$A$"&amp;MATCH($S1263&amp;$J1263,SorP!C:C,0))))</f>
        <v>CN-YN</v>
      </c>
      <c r="U1263" s="201"/>
      <c r="V1263" s="226">
        <f>IF(C1263="",NA(),IF(OR(C1263="Smelter not listed",C1263="Smelter not yet identified"),MATCH($B1263&amp;$D1263,'Smelter Look-up'!$J:$J,0),MATCH($B1263&amp;$C1263,'Smelter Look-up'!$J:$J,0)))</f>
        <v>564</v>
      </c>
      <c r="X1263" s="227">
        <f t="shared" si="177"/>
        <v>0</v>
      </c>
      <c r="AB1263" s="228" t="str">
        <f t="shared" si="178"/>
        <v>TinYunnan Chengfeng</v>
      </c>
    </row>
    <row r="1264" spans="1:28" s="227" customFormat="1" ht="94.5">
      <c r="A1264" s="301" t="s">
        <v>781</v>
      </c>
      <c r="B1264" s="293" t="s">
        <v>1120</v>
      </c>
      <c r="C1264" s="294" t="s">
        <v>2150</v>
      </c>
      <c r="D1264" s="295" t="s">
        <v>2150</v>
      </c>
      <c r="E1264" s="293" t="s">
        <v>1090</v>
      </c>
      <c r="F1264" s="293" t="s">
        <v>781</v>
      </c>
      <c r="G1264" s="293" t="s">
        <v>15864</v>
      </c>
      <c r="H1264" s="302" t="s">
        <v>15880</v>
      </c>
      <c r="I1264" s="297" t="s">
        <v>2429</v>
      </c>
      <c r="J1264" s="297" t="s">
        <v>16594</v>
      </c>
      <c r="K1264" s="298" t="s">
        <v>15855</v>
      </c>
      <c r="L1264" s="298" t="s">
        <v>15855</v>
      </c>
      <c r="M1264" s="298" t="s">
        <v>15855</v>
      </c>
      <c r="N1264" s="298" t="s">
        <v>15896</v>
      </c>
      <c r="O1264" s="298" t="s">
        <v>15896</v>
      </c>
      <c r="P1264" s="299" t="s">
        <v>15857</v>
      </c>
      <c r="Q1264" s="300" t="s">
        <v>15855</v>
      </c>
      <c r="R1264" s="182" t="str">
        <f ca="1">IF(ISERROR($V1264),"",OFFSET('Smelter Look-up'!$C$4,$V1264-4,0)&amp;"")</f>
        <v>Yunnan Chengfeng Non-ferrous Metals Co., Ltd.</v>
      </c>
      <c r="S1264" s="181" t="str">
        <f t="shared" ca="1" si="176"/>
        <v>CN</v>
      </c>
      <c r="T1264" s="181" t="str">
        <f ca="1">IF(B1264="","",IF(ISERROR(MATCH($J1264,SorP!$B$1:$B$6226,0)),"",INDIRECT("'SorP'!$A$"&amp;MATCH($S1264&amp;$J1264,SorP!C:C,0))))</f>
        <v/>
      </c>
      <c r="U1264" s="201"/>
      <c r="V1264" s="226">
        <f>IF(C1264="",NA(),IF(OR(C1264="Smelter not listed",C1264="Smelter not yet identified"),MATCH($B1264&amp;$D1264,'Smelter Look-up'!$J:$J,0),MATCH($B1264&amp;$C1264,'Smelter Look-up'!$J:$J,0)))</f>
        <v>565</v>
      </c>
      <c r="X1264" s="227">
        <f t="shared" si="177"/>
        <v>0</v>
      </c>
      <c r="AB1264" s="228" t="str">
        <f t="shared" si="178"/>
        <v>TinYunnan Chengfeng Non-ferrous Metals Co., Ltd.</v>
      </c>
    </row>
    <row r="1265" spans="1:28" s="227" customFormat="1" ht="94.5">
      <c r="A1265" s="301" t="s">
        <v>781</v>
      </c>
      <c r="B1265" s="293" t="s">
        <v>1120</v>
      </c>
      <c r="C1265" s="294" t="s">
        <v>2150</v>
      </c>
      <c r="D1265" s="295" t="s">
        <v>2150</v>
      </c>
      <c r="E1265" s="293" t="s">
        <v>1090</v>
      </c>
      <c r="F1265" s="293" t="s">
        <v>781</v>
      </c>
      <c r="G1265" s="293" t="s">
        <v>15865</v>
      </c>
      <c r="H1265" s="296" t="s">
        <v>15855</v>
      </c>
      <c r="I1265" s="297" t="s">
        <v>2429</v>
      </c>
      <c r="J1265" s="297" t="s">
        <v>16594</v>
      </c>
      <c r="K1265" s="298" t="s">
        <v>15855</v>
      </c>
      <c r="L1265" s="298" t="s">
        <v>15855</v>
      </c>
      <c r="M1265" s="298" t="s">
        <v>15855</v>
      </c>
      <c r="N1265" s="298" t="s">
        <v>15855</v>
      </c>
      <c r="O1265" s="298" t="s">
        <v>15855</v>
      </c>
      <c r="P1265" s="299" t="s">
        <v>15857</v>
      </c>
      <c r="Q1265" s="300" t="s">
        <v>15855</v>
      </c>
      <c r="R1265" s="182" t="str">
        <f ca="1">IF(ISERROR($V1265),"",OFFSET('Smelter Look-up'!$C$4,$V1265-4,0)&amp;"")</f>
        <v>Yunnan Chengfeng Non-ferrous Metals Co., Ltd.</v>
      </c>
      <c r="S1265" s="181" t="str">
        <f t="shared" ca="1" si="176"/>
        <v>CN</v>
      </c>
      <c r="T1265" s="181" t="str">
        <f ca="1">IF(B1265="","",IF(ISERROR(MATCH($J1265,SorP!$B$1:$B$6226,0)),"",INDIRECT("'SorP'!$A$"&amp;MATCH($S1265&amp;$J1265,SorP!C:C,0))))</f>
        <v/>
      </c>
      <c r="U1265" s="201"/>
      <c r="V1265" s="226">
        <f>IF(C1265="",NA(),IF(OR(C1265="Smelter not listed",C1265="Smelter not yet identified"),MATCH($B1265&amp;$D1265,'Smelter Look-up'!$J:$J,0),MATCH($B1265&amp;$C1265,'Smelter Look-up'!$J:$J,0)))</f>
        <v>565</v>
      </c>
      <c r="X1265" s="227">
        <f t="shared" si="177"/>
        <v>0</v>
      </c>
      <c r="AB1265" s="228" t="str">
        <f t="shared" si="178"/>
        <v>TinYunnan Chengfeng Non-ferrous Metals Co., Ltd.</v>
      </c>
    </row>
    <row r="1266" spans="1:28" s="227" customFormat="1" ht="94.5">
      <c r="A1266" s="301" t="s">
        <v>781</v>
      </c>
      <c r="B1266" s="293" t="s">
        <v>1120</v>
      </c>
      <c r="C1266" s="294" t="s">
        <v>2150</v>
      </c>
      <c r="D1266" s="295" t="s">
        <v>2150</v>
      </c>
      <c r="E1266" s="293" t="s">
        <v>1090</v>
      </c>
      <c r="F1266" s="293" t="s">
        <v>781</v>
      </c>
      <c r="G1266" s="293" t="s">
        <v>13217</v>
      </c>
      <c r="H1266" s="296" t="s">
        <v>15855</v>
      </c>
      <c r="I1266" s="297" t="s">
        <v>2429</v>
      </c>
      <c r="J1266" s="297" t="s">
        <v>13605</v>
      </c>
      <c r="K1266" s="298" t="s">
        <v>15855</v>
      </c>
      <c r="L1266" s="298" t="s">
        <v>15855</v>
      </c>
      <c r="M1266" s="298" t="s">
        <v>15855</v>
      </c>
      <c r="N1266" s="298" t="s">
        <v>15855</v>
      </c>
      <c r="O1266" s="298" t="s">
        <v>15855</v>
      </c>
      <c r="P1266" s="299" t="s">
        <v>15857</v>
      </c>
      <c r="Q1266" s="300" t="s">
        <v>15855</v>
      </c>
      <c r="R1266" s="182" t="str">
        <f ca="1">IF(ISERROR($V1266),"",OFFSET('Smelter Look-up'!$C$4,$V1266-4,0)&amp;"")</f>
        <v>Yunnan Chengfeng Non-ferrous Metals Co., Ltd.</v>
      </c>
      <c r="S1266" s="181" t="str">
        <f t="shared" ca="1" si="176"/>
        <v>CN</v>
      </c>
      <c r="T1266" s="181" t="str">
        <f ca="1">IF(B1266="","",IF(ISERROR(MATCH($J1266,SorP!$B$1:$B$6226,0)),"",INDIRECT("'SorP'!$A$"&amp;MATCH($S1266&amp;$J1266,SorP!C:C,0))))</f>
        <v>CN-YN</v>
      </c>
      <c r="U1266" s="201"/>
      <c r="V1266" s="226">
        <f>IF(C1266="",NA(),IF(OR(C1266="Smelter not listed",C1266="Smelter not yet identified"),MATCH($B1266&amp;$D1266,'Smelter Look-up'!$J:$J,0),MATCH($B1266&amp;$C1266,'Smelter Look-up'!$J:$J,0)))</f>
        <v>565</v>
      </c>
      <c r="X1266" s="227">
        <f t="shared" si="177"/>
        <v>0</v>
      </c>
      <c r="AB1266" s="228" t="str">
        <f t="shared" si="178"/>
        <v>TinYunnan Chengfeng Non-ferrous Metals Co., Ltd.</v>
      </c>
    </row>
    <row r="1267" spans="1:28" s="227" customFormat="1" ht="94.5">
      <c r="A1267" s="301" t="s">
        <v>781</v>
      </c>
      <c r="B1267" s="293" t="s">
        <v>1120</v>
      </c>
      <c r="C1267" s="294" t="s">
        <v>2150</v>
      </c>
      <c r="D1267" s="295" t="s">
        <v>2150</v>
      </c>
      <c r="E1267" s="293" t="s">
        <v>1090</v>
      </c>
      <c r="F1267" s="293" t="s">
        <v>781</v>
      </c>
      <c r="G1267" s="293" t="s">
        <v>13217</v>
      </c>
      <c r="H1267" s="296" t="s">
        <v>15855</v>
      </c>
      <c r="I1267" s="297" t="s">
        <v>2429</v>
      </c>
      <c r="J1267" s="297" t="s">
        <v>13605</v>
      </c>
      <c r="K1267" s="298" t="s">
        <v>15855</v>
      </c>
      <c r="L1267" s="298" t="s">
        <v>15855</v>
      </c>
      <c r="M1267" s="298" t="s">
        <v>15855</v>
      </c>
      <c r="N1267" s="298" t="s">
        <v>15855</v>
      </c>
      <c r="O1267" s="298" t="s">
        <v>16125</v>
      </c>
      <c r="P1267" s="299" t="s">
        <v>15857</v>
      </c>
      <c r="Q1267" s="300" t="s">
        <v>15855</v>
      </c>
      <c r="R1267" s="182" t="str">
        <f ca="1">IF(ISERROR($V1267),"",OFFSET('Smelter Look-up'!$C$4,$V1267-4,0)&amp;"")</f>
        <v>Yunnan Chengfeng Non-ferrous Metals Co., Ltd.</v>
      </c>
      <c r="S1267" s="181" t="str">
        <f t="shared" ca="1" si="176"/>
        <v>CN</v>
      </c>
      <c r="T1267" s="181" t="str">
        <f ca="1">IF(B1267="","",IF(ISERROR(MATCH($J1267,SorP!$B$1:$B$6226,0)),"",INDIRECT("'SorP'!$A$"&amp;MATCH($S1267&amp;$J1267,SorP!C:C,0))))</f>
        <v>CN-YN</v>
      </c>
      <c r="U1267" s="201"/>
      <c r="V1267" s="226">
        <f>IF(C1267="",NA(),IF(OR(C1267="Smelter not listed",C1267="Smelter not yet identified"),MATCH($B1267&amp;$D1267,'Smelter Look-up'!$J:$J,0),MATCH($B1267&amp;$C1267,'Smelter Look-up'!$J:$J,0)))</f>
        <v>565</v>
      </c>
      <c r="X1267" s="227">
        <f t="shared" si="177"/>
        <v>0</v>
      </c>
      <c r="AB1267" s="228" t="str">
        <f t="shared" si="178"/>
        <v>TinYunnan Chengfeng Non-ferrous Metals Co., Ltd.</v>
      </c>
    </row>
    <row r="1268" spans="1:28" s="227" customFormat="1" ht="94.5">
      <c r="A1268" s="301" t="s">
        <v>781</v>
      </c>
      <c r="B1268" s="293" t="s">
        <v>1120</v>
      </c>
      <c r="C1268" s="294" t="s">
        <v>2150</v>
      </c>
      <c r="D1268" s="295" t="s">
        <v>2150</v>
      </c>
      <c r="E1268" s="293" t="s">
        <v>1090</v>
      </c>
      <c r="F1268" s="293" t="s">
        <v>781</v>
      </c>
      <c r="G1268" s="293" t="s">
        <v>13217</v>
      </c>
      <c r="H1268" s="296" t="s">
        <v>15855</v>
      </c>
      <c r="I1268" s="297" t="s">
        <v>2429</v>
      </c>
      <c r="J1268" s="297" t="s">
        <v>13605</v>
      </c>
      <c r="K1268" s="298" t="s">
        <v>15855</v>
      </c>
      <c r="L1268" s="298" t="s">
        <v>15855</v>
      </c>
      <c r="M1268" s="298" t="s">
        <v>15855</v>
      </c>
      <c r="N1268" s="298" t="s">
        <v>2150</v>
      </c>
      <c r="O1268" s="298" t="s">
        <v>1090</v>
      </c>
      <c r="P1268" s="299" t="s">
        <v>15857</v>
      </c>
      <c r="Q1268" s="300" t="s">
        <v>15855</v>
      </c>
      <c r="R1268" s="182" t="str">
        <f ca="1">IF(ISERROR($V1268),"",OFFSET('Smelter Look-up'!$C$4,$V1268-4,0)&amp;"")</f>
        <v>Yunnan Chengfeng Non-ferrous Metals Co., Ltd.</v>
      </c>
      <c r="S1268" s="181" t="str">
        <f t="shared" ca="1" si="176"/>
        <v>CN</v>
      </c>
      <c r="T1268" s="181" t="str">
        <f ca="1">IF(B1268="","",IF(ISERROR(MATCH($J1268,SorP!$B$1:$B$6226,0)),"",INDIRECT("'SorP'!$A$"&amp;MATCH($S1268&amp;$J1268,SorP!C:C,0))))</f>
        <v>CN-YN</v>
      </c>
      <c r="U1268" s="201"/>
      <c r="V1268" s="226">
        <f>IF(C1268="",NA(),IF(OR(C1268="Smelter not listed",C1268="Smelter not yet identified"),MATCH($B1268&amp;$D1268,'Smelter Look-up'!$J:$J,0),MATCH($B1268&amp;$C1268,'Smelter Look-up'!$J:$J,0)))</f>
        <v>565</v>
      </c>
      <c r="X1268" s="227">
        <f t="shared" si="177"/>
        <v>0</v>
      </c>
      <c r="AB1268" s="228" t="str">
        <f t="shared" si="178"/>
        <v>TinYunnan Chengfeng Non-ferrous Metals Co., Ltd.</v>
      </c>
    </row>
    <row r="1269" spans="1:28" s="227" customFormat="1" ht="94.5">
      <c r="A1269" s="301" t="s">
        <v>781</v>
      </c>
      <c r="B1269" s="293" t="s">
        <v>1120</v>
      </c>
      <c r="C1269" s="294" t="s">
        <v>2150</v>
      </c>
      <c r="D1269" s="295" t="s">
        <v>2150</v>
      </c>
      <c r="E1269" s="293" t="s">
        <v>1090</v>
      </c>
      <c r="F1269" s="293" t="s">
        <v>781</v>
      </c>
      <c r="G1269" s="293" t="s">
        <v>13217</v>
      </c>
      <c r="H1269" s="296" t="s">
        <v>15855</v>
      </c>
      <c r="I1269" s="297" t="s">
        <v>2429</v>
      </c>
      <c r="J1269" s="297" t="s">
        <v>13605</v>
      </c>
      <c r="K1269" s="298" t="s">
        <v>16924</v>
      </c>
      <c r="L1269" s="298" t="s">
        <v>16925</v>
      </c>
      <c r="M1269" s="298" t="s">
        <v>15869</v>
      </c>
      <c r="N1269" s="298" t="s">
        <v>16926</v>
      </c>
      <c r="O1269" s="298" t="s">
        <v>16927</v>
      </c>
      <c r="P1269" s="299" t="s">
        <v>15857</v>
      </c>
      <c r="Q1269" s="300" t="s">
        <v>15855</v>
      </c>
      <c r="R1269" s="182" t="str">
        <f ca="1">IF(ISERROR($V1269),"",OFFSET('Smelter Look-up'!$C$4,$V1269-4,0)&amp;"")</f>
        <v>Yunnan Chengfeng Non-ferrous Metals Co., Ltd.</v>
      </c>
      <c r="S1269" s="181" t="str">
        <f t="shared" ca="1" si="176"/>
        <v>CN</v>
      </c>
      <c r="T1269" s="181" t="str">
        <f ca="1">IF(B1269="","",IF(ISERROR(MATCH($J1269,SorP!$B$1:$B$6226,0)),"",INDIRECT("'SorP'!$A$"&amp;MATCH($S1269&amp;$J1269,SorP!C:C,0))))</f>
        <v>CN-YN</v>
      </c>
      <c r="U1269" s="201"/>
      <c r="V1269" s="226">
        <f>IF(C1269="",NA(),IF(OR(C1269="Smelter not listed",C1269="Smelter not yet identified"),MATCH($B1269&amp;$D1269,'Smelter Look-up'!$J:$J,0),MATCH($B1269&amp;$C1269,'Smelter Look-up'!$J:$J,0)))</f>
        <v>565</v>
      </c>
      <c r="X1269" s="227">
        <f t="shared" si="177"/>
        <v>0</v>
      </c>
      <c r="AB1269" s="228" t="str">
        <f t="shared" si="178"/>
        <v>TinYunnan Chengfeng Non-ferrous Metals Co., Ltd.</v>
      </c>
    </row>
    <row r="1270" spans="1:28" s="227" customFormat="1" ht="94.5">
      <c r="A1270" s="301" t="s">
        <v>781</v>
      </c>
      <c r="B1270" s="293" t="s">
        <v>1120</v>
      </c>
      <c r="C1270" s="294" t="s">
        <v>2150</v>
      </c>
      <c r="D1270" s="295" t="s">
        <v>2150</v>
      </c>
      <c r="E1270" s="293" t="s">
        <v>1090</v>
      </c>
      <c r="F1270" s="293" t="s">
        <v>781</v>
      </c>
      <c r="G1270" s="293" t="s">
        <v>13217</v>
      </c>
      <c r="H1270" s="302" t="s">
        <v>15880</v>
      </c>
      <c r="I1270" s="297" t="s">
        <v>2429</v>
      </c>
      <c r="J1270" s="297" t="s">
        <v>16594</v>
      </c>
      <c r="K1270" s="298" t="s">
        <v>15855</v>
      </c>
      <c r="L1270" s="298" t="s">
        <v>15855</v>
      </c>
      <c r="M1270" s="298" t="s">
        <v>15855</v>
      </c>
      <c r="N1270" s="298" t="s">
        <v>15855</v>
      </c>
      <c r="O1270" s="298" t="s">
        <v>15855</v>
      </c>
      <c r="P1270" s="299" t="s">
        <v>15857</v>
      </c>
      <c r="Q1270" s="300" t="s">
        <v>15855</v>
      </c>
      <c r="R1270" s="182" t="str">
        <f ca="1">IF(ISERROR($V1270),"",OFFSET('Smelter Look-up'!$C$4,$V1270-4,0)&amp;"")</f>
        <v>Yunnan Chengfeng Non-ferrous Metals Co., Ltd.</v>
      </c>
      <c r="S1270" s="181" t="str">
        <f t="shared" ca="1" si="176"/>
        <v>CN</v>
      </c>
      <c r="T1270" s="181" t="str">
        <f ca="1">IF(B1270="","",IF(ISERROR(MATCH($J1270,SorP!$B$1:$B$6226,0)),"",INDIRECT("'SorP'!$A$"&amp;MATCH($S1270&amp;$J1270,SorP!C:C,0))))</f>
        <v/>
      </c>
      <c r="U1270" s="201"/>
      <c r="V1270" s="226">
        <f>IF(C1270="",NA(),IF(OR(C1270="Smelter not listed",C1270="Smelter not yet identified"),MATCH($B1270&amp;$D1270,'Smelter Look-up'!$J:$J,0),MATCH($B1270&amp;$C1270,'Smelter Look-up'!$J:$J,0)))</f>
        <v>565</v>
      </c>
      <c r="X1270" s="227">
        <f t="shared" si="177"/>
        <v>0</v>
      </c>
      <c r="AB1270" s="228" t="str">
        <f t="shared" si="178"/>
        <v>TinYunnan Chengfeng Non-ferrous Metals Co., Ltd.</v>
      </c>
    </row>
    <row r="1271" spans="1:28" s="227" customFormat="1" ht="94.5">
      <c r="A1271" s="301" t="s">
        <v>781</v>
      </c>
      <c r="B1271" s="293" t="s">
        <v>1120</v>
      </c>
      <c r="C1271" s="294" t="s">
        <v>2150</v>
      </c>
      <c r="D1271" s="295" t="s">
        <v>2150</v>
      </c>
      <c r="E1271" s="293" t="s">
        <v>1090</v>
      </c>
      <c r="F1271" s="293" t="s">
        <v>781</v>
      </c>
      <c r="G1271" s="293" t="s">
        <v>13217</v>
      </c>
      <c r="H1271" s="302" t="s">
        <v>15880</v>
      </c>
      <c r="I1271" s="297" t="s">
        <v>2429</v>
      </c>
      <c r="J1271" s="297" t="s">
        <v>13605</v>
      </c>
      <c r="K1271" s="298" t="s">
        <v>15855</v>
      </c>
      <c r="L1271" s="298" t="s">
        <v>15855</v>
      </c>
      <c r="M1271" s="298" t="s">
        <v>15855</v>
      </c>
      <c r="N1271" s="298" t="s">
        <v>15855</v>
      </c>
      <c r="O1271" s="298" t="s">
        <v>15855</v>
      </c>
      <c r="P1271" s="299" t="s">
        <v>15857</v>
      </c>
      <c r="Q1271" s="300" t="s">
        <v>15855</v>
      </c>
      <c r="R1271" s="182" t="str">
        <f ca="1">IF(ISERROR($V1271),"",OFFSET('Smelter Look-up'!$C$4,$V1271-4,0)&amp;"")</f>
        <v>Yunnan Chengfeng Non-ferrous Metals Co., Ltd.</v>
      </c>
      <c r="S1271" s="181" t="str">
        <f t="shared" ca="1" si="176"/>
        <v>CN</v>
      </c>
      <c r="T1271" s="181" t="str">
        <f ca="1">IF(B1271="","",IF(ISERROR(MATCH($J1271,SorP!$B$1:$B$6226,0)),"",INDIRECT("'SorP'!$A$"&amp;MATCH($S1271&amp;$J1271,SorP!C:C,0))))</f>
        <v>CN-YN</v>
      </c>
      <c r="U1271" s="201"/>
      <c r="V1271" s="226">
        <f>IF(C1271="",NA(),IF(OR(C1271="Smelter not listed",C1271="Smelter not yet identified"),MATCH($B1271&amp;$D1271,'Smelter Look-up'!$J:$J,0),MATCH($B1271&amp;$C1271,'Smelter Look-up'!$J:$J,0)))</f>
        <v>565</v>
      </c>
      <c r="X1271" s="227">
        <f t="shared" si="177"/>
        <v>0</v>
      </c>
      <c r="AB1271" s="228" t="str">
        <f t="shared" si="178"/>
        <v>TinYunnan Chengfeng Non-ferrous Metals Co., Ltd.</v>
      </c>
    </row>
    <row r="1272" spans="1:28" s="227" customFormat="1" ht="94.5">
      <c r="A1272" s="301" t="s">
        <v>781</v>
      </c>
      <c r="B1272" s="293" t="s">
        <v>1120</v>
      </c>
      <c r="C1272" s="294" t="s">
        <v>2150</v>
      </c>
      <c r="D1272" s="295" t="s">
        <v>2150</v>
      </c>
      <c r="E1272" s="293" t="s">
        <v>1090</v>
      </c>
      <c r="F1272" s="293" t="s">
        <v>781</v>
      </c>
      <c r="G1272" s="293" t="s">
        <v>13217</v>
      </c>
      <c r="H1272" s="302" t="s">
        <v>15880</v>
      </c>
      <c r="I1272" s="297" t="s">
        <v>2429</v>
      </c>
      <c r="J1272" s="297" t="s">
        <v>13605</v>
      </c>
      <c r="K1272" s="298" t="s">
        <v>15881</v>
      </c>
      <c r="L1272" s="298" t="s">
        <v>15881</v>
      </c>
      <c r="M1272" s="298" t="s">
        <v>12593</v>
      </c>
      <c r="N1272" s="298" t="s">
        <v>15881</v>
      </c>
      <c r="O1272" s="298" t="s">
        <v>15881</v>
      </c>
      <c r="P1272" s="299" t="s">
        <v>15857</v>
      </c>
      <c r="Q1272" s="300" t="s">
        <v>15855</v>
      </c>
      <c r="R1272" s="182" t="str">
        <f ca="1">IF(ISERROR($V1272),"",OFFSET('Smelter Look-up'!$C$4,$V1272-4,0)&amp;"")</f>
        <v>Yunnan Chengfeng Non-ferrous Metals Co., Ltd.</v>
      </c>
      <c r="S1272" s="181" t="str">
        <f t="shared" ca="1" si="176"/>
        <v>CN</v>
      </c>
      <c r="T1272" s="181" t="str">
        <f ca="1">IF(B1272="","",IF(ISERROR(MATCH($J1272,SorP!$B$1:$B$6226,0)),"",INDIRECT("'SorP'!$A$"&amp;MATCH($S1272&amp;$J1272,SorP!C:C,0))))</f>
        <v>CN-YN</v>
      </c>
      <c r="U1272" s="201"/>
      <c r="V1272" s="226">
        <f>IF(C1272="",NA(),IF(OR(C1272="Smelter not listed",C1272="Smelter not yet identified"),MATCH($B1272&amp;$D1272,'Smelter Look-up'!$J:$J,0),MATCH($B1272&amp;$C1272,'Smelter Look-up'!$J:$J,0)))</f>
        <v>565</v>
      </c>
      <c r="X1272" s="227">
        <f t="shared" si="177"/>
        <v>0</v>
      </c>
      <c r="AB1272" s="228" t="str">
        <f t="shared" si="178"/>
        <v>TinYunnan Chengfeng Non-ferrous Metals Co., Ltd.</v>
      </c>
    </row>
    <row r="1273" spans="1:28" s="227" customFormat="1" ht="94.5">
      <c r="A1273" s="301" t="s">
        <v>781</v>
      </c>
      <c r="B1273" s="293" t="s">
        <v>1120</v>
      </c>
      <c r="C1273" s="294" t="s">
        <v>2150</v>
      </c>
      <c r="D1273" s="295" t="s">
        <v>2150</v>
      </c>
      <c r="E1273" s="293" t="s">
        <v>1090</v>
      </c>
      <c r="F1273" s="293" t="s">
        <v>781</v>
      </c>
      <c r="G1273" s="293" t="s">
        <v>13217</v>
      </c>
      <c r="H1273" s="296" t="s">
        <v>16928</v>
      </c>
      <c r="I1273" s="297" t="s">
        <v>2429</v>
      </c>
      <c r="J1273" s="297" t="s">
        <v>16594</v>
      </c>
      <c r="K1273" s="298" t="s">
        <v>16929</v>
      </c>
      <c r="L1273" s="298" t="s">
        <v>16930</v>
      </c>
      <c r="M1273" s="298" t="s">
        <v>12438</v>
      </c>
      <c r="N1273" s="298" t="s">
        <v>2150</v>
      </c>
      <c r="O1273" s="298" t="s">
        <v>1090</v>
      </c>
      <c r="P1273" s="299" t="s">
        <v>15857</v>
      </c>
      <c r="Q1273" s="300" t="s">
        <v>15855</v>
      </c>
      <c r="R1273" s="182" t="str">
        <f ca="1">IF(ISERROR($V1273),"",OFFSET('Smelter Look-up'!$C$4,$V1273-4,0)&amp;"")</f>
        <v>Yunnan Chengfeng Non-ferrous Metals Co., Ltd.</v>
      </c>
      <c r="S1273" s="181" t="str">
        <f t="shared" ca="1" si="176"/>
        <v>CN</v>
      </c>
      <c r="T1273" s="181" t="str">
        <f ca="1">IF(B1273="","",IF(ISERROR(MATCH($J1273,SorP!$B$1:$B$6226,0)),"",INDIRECT("'SorP'!$A$"&amp;MATCH($S1273&amp;$J1273,SorP!C:C,0))))</f>
        <v/>
      </c>
      <c r="U1273" s="201"/>
      <c r="V1273" s="226">
        <f>IF(C1273="",NA(),IF(OR(C1273="Smelter not listed",C1273="Smelter not yet identified"),MATCH($B1273&amp;$D1273,'Smelter Look-up'!$J:$J,0),MATCH($B1273&amp;$C1273,'Smelter Look-up'!$J:$J,0)))</f>
        <v>565</v>
      </c>
      <c r="X1273" s="227">
        <f t="shared" si="177"/>
        <v>0</v>
      </c>
      <c r="AB1273" s="228" t="str">
        <f t="shared" si="178"/>
        <v>TinYunnan Chengfeng Non-ferrous Metals Co., Ltd.</v>
      </c>
    </row>
    <row r="1274" spans="1:28" s="227" customFormat="1" ht="94.5">
      <c r="A1274" s="301" t="s">
        <v>781</v>
      </c>
      <c r="B1274" s="293" t="s">
        <v>1120</v>
      </c>
      <c r="C1274" s="294" t="s">
        <v>2150</v>
      </c>
      <c r="D1274" s="295" t="s">
        <v>2150</v>
      </c>
      <c r="E1274" s="293" t="s">
        <v>1090</v>
      </c>
      <c r="F1274" s="293" t="s">
        <v>781</v>
      </c>
      <c r="G1274" s="293" t="s">
        <v>13217</v>
      </c>
      <c r="H1274" s="296" t="s">
        <v>16931</v>
      </c>
      <c r="I1274" s="297" t="s">
        <v>2429</v>
      </c>
      <c r="J1274" s="297" t="s">
        <v>16594</v>
      </c>
      <c r="K1274" s="298" t="s">
        <v>15855</v>
      </c>
      <c r="L1274" s="298" t="s">
        <v>15855</v>
      </c>
      <c r="M1274" s="298" t="s">
        <v>15855</v>
      </c>
      <c r="N1274" s="298" t="s">
        <v>16540</v>
      </c>
      <c r="O1274" s="298" t="s">
        <v>16540</v>
      </c>
      <c r="P1274" s="299" t="s">
        <v>15857</v>
      </c>
      <c r="Q1274" s="300" t="s">
        <v>15855</v>
      </c>
      <c r="R1274" s="182" t="str">
        <f ca="1">IF(ISERROR($V1274),"",OFFSET('Smelter Look-up'!$C$4,$V1274-4,0)&amp;"")</f>
        <v>Yunnan Chengfeng Non-ferrous Metals Co., Ltd.</v>
      </c>
      <c r="S1274" s="181" t="str">
        <f t="shared" ca="1" si="176"/>
        <v>CN</v>
      </c>
      <c r="T1274" s="181" t="str">
        <f ca="1">IF(B1274="","",IF(ISERROR(MATCH($J1274,SorP!$B$1:$B$6226,0)),"",INDIRECT("'SorP'!$A$"&amp;MATCH($S1274&amp;$J1274,SorP!C:C,0))))</f>
        <v/>
      </c>
      <c r="U1274" s="201"/>
      <c r="V1274" s="226">
        <f>IF(C1274="",NA(),IF(OR(C1274="Smelter not listed",C1274="Smelter not yet identified"),MATCH($B1274&amp;$D1274,'Smelter Look-up'!$J:$J,0),MATCH($B1274&amp;$C1274,'Smelter Look-up'!$J:$J,0)))</f>
        <v>565</v>
      </c>
      <c r="X1274" s="227">
        <f t="shared" si="177"/>
        <v>0</v>
      </c>
      <c r="AB1274" s="228" t="str">
        <f t="shared" si="178"/>
        <v>TinYunnan Chengfeng Non-ferrous Metals Co., Ltd.</v>
      </c>
    </row>
    <row r="1275" spans="1:28" s="227" customFormat="1" ht="94.5">
      <c r="A1275" s="301" t="s">
        <v>781</v>
      </c>
      <c r="B1275" s="293" t="s">
        <v>1120</v>
      </c>
      <c r="C1275" s="294" t="s">
        <v>2150</v>
      </c>
      <c r="D1275" s="295" t="s">
        <v>2150</v>
      </c>
      <c r="E1275" s="293" t="s">
        <v>1090</v>
      </c>
      <c r="F1275" s="293" t="s">
        <v>781</v>
      </c>
      <c r="G1275" s="293" t="s">
        <v>13217</v>
      </c>
      <c r="H1275" s="296" t="s">
        <v>16932</v>
      </c>
      <c r="I1275" s="297" t="s">
        <v>2429</v>
      </c>
      <c r="J1275" s="297" t="s">
        <v>13605</v>
      </c>
      <c r="K1275" s="298" t="s">
        <v>16921</v>
      </c>
      <c r="L1275" s="298" t="s">
        <v>16922</v>
      </c>
      <c r="M1275" s="298" t="s">
        <v>12438</v>
      </c>
      <c r="N1275" s="298" t="s">
        <v>16923</v>
      </c>
      <c r="O1275" s="298" t="s">
        <v>15989</v>
      </c>
      <c r="P1275" s="299" t="s">
        <v>15857</v>
      </c>
      <c r="Q1275" s="300" t="s">
        <v>16245</v>
      </c>
      <c r="R1275" s="182" t="str">
        <f ca="1">IF(ISERROR($V1275),"",OFFSET('Smelter Look-up'!$C$4,$V1275-4,0)&amp;"")</f>
        <v>Yunnan Chengfeng Non-ferrous Metals Co., Ltd.</v>
      </c>
      <c r="S1275" s="181" t="str">
        <f t="shared" ref="S1275" ca="1" si="179">IF(B1275="","",IF(ISERROR(MATCH($E1275,CL,0)),"Unknown",INDIRECT("'C'!$A$"&amp;MATCH($E1275,CL,0)+1)))</f>
        <v>CN</v>
      </c>
      <c r="T1275" s="181" t="str">
        <f ca="1">IF(B1275="","",IF(ISERROR(MATCH($J1275,SorP!$B$1:$B$6226,0)),"",INDIRECT("'SorP'!$A$"&amp;MATCH($S1275&amp;$J1275,SorP!C:C,0))))</f>
        <v>CN-YN</v>
      </c>
      <c r="U1275" s="201"/>
      <c r="V1275" s="226">
        <f>IF(C1275="",NA(),IF(OR(C1275="Smelter not listed",C1275="Smelter not yet identified"),MATCH($B1275&amp;$D1275,'Smelter Look-up'!$J:$J,0),MATCH($B1275&amp;$C1275,'Smelter Look-up'!$J:$J,0)))</f>
        <v>565</v>
      </c>
      <c r="X1275" s="227">
        <f t="shared" ref="X1275" si="180">IF(AND(C1275="Smelter not listed",OR(LEN(D1275)=0,LEN(E1275)=0)),1,0)</f>
        <v>0</v>
      </c>
      <c r="AB1275" s="228" t="str">
        <f t="shared" ref="AB1275" si="181">B1275&amp;C1275</f>
        <v>TinYunnan Chengfeng Non-ferrous Metals Co., Ltd.</v>
      </c>
    </row>
    <row r="1276" spans="1:28" s="227" customFormat="1" ht="94.5">
      <c r="A1276" s="301" t="s">
        <v>781</v>
      </c>
      <c r="B1276" s="293" t="s">
        <v>1120</v>
      </c>
      <c r="C1276" s="294" t="s">
        <v>2150</v>
      </c>
      <c r="D1276" s="295" t="s">
        <v>2150</v>
      </c>
      <c r="E1276" s="293" t="s">
        <v>1090</v>
      </c>
      <c r="F1276" s="293" t="s">
        <v>781</v>
      </c>
      <c r="G1276" s="293" t="s">
        <v>13217</v>
      </c>
      <c r="H1276" s="296" t="s">
        <v>16933</v>
      </c>
      <c r="I1276" s="297" t="s">
        <v>2429</v>
      </c>
      <c r="J1276" s="297" t="s">
        <v>13605</v>
      </c>
      <c r="K1276" s="298" t="s">
        <v>16929</v>
      </c>
      <c r="L1276" s="298" t="s">
        <v>16925</v>
      </c>
      <c r="M1276" s="298" t="s">
        <v>15855</v>
      </c>
      <c r="N1276" s="298" t="s">
        <v>16610</v>
      </c>
      <c r="O1276" s="298" t="s">
        <v>15989</v>
      </c>
      <c r="P1276" s="299" t="s">
        <v>15857</v>
      </c>
      <c r="Q1276" s="300" t="s">
        <v>16611</v>
      </c>
      <c r="R1276" s="182" t="str">
        <f ca="1">IF(ISERROR($V1276),"",OFFSET('Smelter Look-up'!$C$4,$V1276-4,0)&amp;"")</f>
        <v>Yunnan Chengfeng Non-ferrous Metals Co., Ltd.</v>
      </c>
      <c r="S1276" s="181" t="str">
        <f t="shared" ref="S1276:S1307" ca="1" si="182">IF(B1276="","",IF(ISERROR(MATCH($E1276,CL,0)),"Unknown",INDIRECT("'C'!$A$"&amp;MATCH($E1276,CL,0)+1)))</f>
        <v>CN</v>
      </c>
      <c r="T1276" s="181" t="str">
        <f ca="1">IF(B1276="","",IF(ISERROR(MATCH($J1276,SorP!$B$1:$B$6226,0)),"",INDIRECT("'SorP'!$A$"&amp;MATCH($S1276&amp;$J1276,SorP!C:C,0))))</f>
        <v>CN-YN</v>
      </c>
      <c r="U1276" s="201"/>
      <c r="V1276" s="226">
        <f>IF(C1276="",NA(),IF(OR(C1276="Smelter not listed",C1276="Smelter not yet identified"),MATCH($B1276&amp;$D1276,'Smelter Look-up'!$J:$J,0),MATCH($B1276&amp;$C1276,'Smelter Look-up'!$J:$J,0)))</f>
        <v>565</v>
      </c>
      <c r="X1276" s="227">
        <f t="shared" ref="X1276:X1307" si="183">IF(AND(C1276="Smelter not listed",OR(LEN(D1276)=0,LEN(E1276)=0)),1,0)</f>
        <v>0</v>
      </c>
      <c r="AB1276" s="228" t="str">
        <f t="shared" ref="AB1276:AB1307" si="184">B1276&amp;C1276</f>
        <v>TinYunnan Chengfeng Non-ferrous Metals Co., Ltd.</v>
      </c>
    </row>
    <row r="1277" spans="1:28" s="227" customFormat="1" ht="108">
      <c r="A1277" s="301" t="s">
        <v>781</v>
      </c>
      <c r="B1277" s="293" t="s">
        <v>1120</v>
      </c>
      <c r="C1277" s="294" t="s">
        <v>2150</v>
      </c>
      <c r="D1277" s="295" t="s">
        <v>2150</v>
      </c>
      <c r="E1277" s="293" t="s">
        <v>1090</v>
      </c>
      <c r="F1277" s="293" t="s">
        <v>781</v>
      </c>
      <c r="G1277" s="293" t="s">
        <v>13217</v>
      </c>
      <c r="H1277" s="296" t="s">
        <v>16933</v>
      </c>
      <c r="I1277" s="297" t="s">
        <v>2429</v>
      </c>
      <c r="J1277" s="297" t="s">
        <v>13605</v>
      </c>
      <c r="K1277" s="298" t="s">
        <v>16929</v>
      </c>
      <c r="L1277" s="298" t="s">
        <v>16925</v>
      </c>
      <c r="M1277" s="298" t="s">
        <v>16934</v>
      </c>
      <c r="N1277" s="298" t="s">
        <v>16610</v>
      </c>
      <c r="O1277" s="298" t="s">
        <v>15989</v>
      </c>
      <c r="P1277" s="299" t="s">
        <v>15857</v>
      </c>
      <c r="Q1277" s="300" t="s">
        <v>16611</v>
      </c>
      <c r="R1277" s="182" t="str">
        <f ca="1">IF(ISERROR($V1277),"",OFFSET('Smelter Look-up'!$C$4,$V1277-4,0)&amp;"")</f>
        <v>Yunnan Chengfeng Non-ferrous Metals Co., Ltd.</v>
      </c>
      <c r="S1277" s="181" t="str">
        <f t="shared" ca="1" si="182"/>
        <v>CN</v>
      </c>
      <c r="T1277" s="181" t="str">
        <f ca="1">IF(B1277="","",IF(ISERROR(MATCH($J1277,SorP!$B$1:$B$6226,0)),"",INDIRECT("'SorP'!$A$"&amp;MATCH($S1277&amp;$J1277,SorP!C:C,0))))</f>
        <v>CN-YN</v>
      </c>
      <c r="U1277" s="201"/>
      <c r="V1277" s="226">
        <f>IF(C1277="",NA(),IF(OR(C1277="Smelter not listed",C1277="Smelter not yet identified"),MATCH($B1277&amp;$D1277,'Smelter Look-up'!$J:$J,0),MATCH($B1277&amp;$C1277,'Smelter Look-up'!$J:$J,0)))</f>
        <v>565</v>
      </c>
      <c r="X1277" s="227">
        <f t="shared" si="183"/>
        <v>0</v>
      </c>
      <c r="AB1277" s="228" t="str">
        <f t="shared" si="184"/>
        <v>TinYunnan Chengfeng Non-ferrous Metals Co., Ltd.</v>
      </c>
    </row>
    <row r="1278" spans="1:28" s="227" customFormat="1" ht="81">
      <c r="A1278" s="301" t="s">
        <v>781</v>
      </c>
      <c r="B1278" s="293" t="s">
        <v>1120</v>
      </c>
      <c r="C1278" s="294" t="s">
        <v>2516</v>
      </c>
      <c r="D1278" s="295" t="s">
        <v>2150</v>
      </c>
      <c r="E1278" s="293" t="s">
        <v>1090</v>
      </c>
      <c r="F1278" s="293" t="s">
        <v>781</v>
      </c>
      <c r="G1278" s="293" t="s">
        <v>15865</v>
      </c>
      <c r="H1278" s="296" t="s">
        <v>15855</v>
      </c>
      <c r="I1278" s="297" t="s">
        <v>2429</v>
      </c>
      <c r="J1278" s="297" t="s">
        <v>16594</v>
      </c>
      <c r="K1278" s="298" t="s">
        <v>15855</v>
      </c>
      <c r="L1278" s="298" t="s">
        <v>15855</v>
      </c>
      <c r="M1278" s="298" t="s">
        <v>15855</v>
      </c>
      <c r="N1278" s="298" t="s">
        <v>15855</v>
      </c>
      <c r="O1278" s="298" t="s">
        <v>15855</v>
      </c>
      <c r="P1278" s="299" t="s">
        <v>15857</v>
      </c>
      <c r="Q1278" s="300" t="s">
        <v>15855</v>
      </c>
      <c r="R1278" s="182" t="str">
        <f ca="1">IF(ISERROR($V1278),"",OFFSET('Smelter Look-up'!$C$4,$V1278-4,0)&amp;"")</f>
        <v>Yunnan Chengfeng Non-ferrous Metals Co., Ltd.</v>
      </c>
      <c r="S1278" s="181" t="str">
        <f t="shared" ca="1" si="182"/>
        <v>CN</v>
      </c>
      <c r="T1278" s="181" t="str">
        <f ca="1">IF(B1278="","",IF(ISERROR(MATCH($J1278,SorP!$B$1:$B$6226,0)),"",INDIRECT("'SorP'!$A$"&amp;MATCH($S1278&amp;$J1278,SorP!C:C,0))))</f>
        <v/>
      </c>
      <c r="U1278" s="201"/>
      <c r="V1278" s="226">
        <f>IF(C1278="",NA(),IF(OR(C1278="Smelter not listed",C1278="Smelter not yet identified"),MATCH($B1278&amp;$D1278,'Smelter Look-up'!$J:$J,0),MATCH($B1278&amp;$C1278,'Smelter Look-up'!$J:$J,0)))</f>
        <v>568</v>
      </c>
      <c r="X1278" s="227">
        <f t="shared" si="183"/>
        <v>0</v>
      </c>
      <c r="AB1278" s="228" t="str">
        <f t="shared" si="184"/>
        <v>TinYunnan ride non-ferrous metal co., LTD</v>
      </c>
    </row>
    <row r="1279" spans="1:28" s="227" customFormat="1" ht="81">
      <c r="A1279" s="301" t="s">
        <v>781</v>
      </c>
      <c r="B1279" s="293" t="s">
        <v>1120</v>
      </c>
      <c r="C1279" s="294" t="s">
        <v>2516</v>
      </c>
      <c r="D1279" s="295" t="s">
        <v>2150</v>
      </c>
      <c r="E1279" s="293" t="s">
        <v>1090</v>
      </c>
      <c r="F1279" s="293" t="s">
        <v>781</v>
      </c>
      <c r="G1279" s="293" t="s">
        <v>15865</v>
      </c>
      <c r="H1279" s="296" t="s">
        <v>15855</v>
      </c>
      <c r="I1279" s="297" t="s">
        <v>2429</v>
      </c>
      <c r="J1279" s="297" t="s">
        <v>16594</v>
      </c>
      <c r="K1279" s="298" t="s">
        <v>15855</v>
      </c>
      <c r="L1279" s="298" t="s">
        <v>15855</v>
      </c>
      <c r="M1279" s="298" t="s">
        <v>2334</v>
      </c>
      <c r="N1279" s="298" t="s">
        <v>12438</v>
      </c>
      <c r="O1279" s="298" t="s">
        <v>15855</v>
      </c>
      <c r="P1279" s="299" t="s">
        <v>15857</v>
      </c>
      <c r="Q1279" s="300" t="s">
        <v>15855</v>
      </c>
      <c r="R1279" s="182" t="str">
        <f ca="1">IF(ISERROR($V1279),"",OFFSET('Smelter Look-up'!$C$4,$V1279-4,0)&amp;"")</f>
        <v>Yunnan Chengfeng Non-ferrous Metals Co., Ltd.</v>
      </c>
      <c r="S1279" s="181" t="str">
        <f t="shared" ca="1" si="182"/>
        <v>CN</v>
      </c>
      <c r="T1279" s="181" t="str">
        <f ca="1">IF(B1279="","",IF(ISERROR(MATCH($J1279,SorP!$B$1:$B$6226,0)),"",INDIRECT("'SorP'!$A$"&amp;MATCH($S1279&amp;$J1279,SorP!C:C,0))))</f>
        <v/>
      </c>
      <c r="U1279" s="201"/>
      <c r="V1279" s="226">
        <f>IF(C1279="",NA(),IF(OR(C1279="Smelter not listed",C1279="Smelter not yet identified"),MATCH($B1279&amp;$D1279,'Smelter Look-up'!$J:$J,0),MATCH($B1279&amp;$C1279,'Smelter Look-up'!$J:$J,0)))</f>
        <v>568</v>
      </c>
      <c r="X1279" s="227">
        <f t="shared" si="183"/>
        <v>0</v>
      </c>
      <c r="AB1279" s="228" t="str">
        <f t="shared" si="184"/>
        <v>TinYunnan ride non-ferrous metal co., LTD</v>
      </c>
    </row>
    <row r="1280" spans="1:28" s="227" customFormat="1" ht="81">
      <c r="A1280" s="301" t="s">
        <v>781</v>
      </c>
      <c r="B1280" s="293" t="s">
        <v>1120</v>
      </c>
      <c r="C1280" s="294" t="s">
        <v>2516</v>
      </c>
      <c r="D1280" s="295" t="s">
        <v>2150</v>
      </c>
      <c r="E1280" s="293" t="s">
        <v>1090</v>
      </c>
      <c r="F1280" s="293" t="s">
        <v>781</v>
      </c>
      <c r="G1280" s="293" t="s">
        <v>13217</v>
      </c>
      <c r="H1280" s="296" t="s">
        <v>15855</v>
      </c>
      <c r="I1280" s="297" t="s">
        <v>2429</v>
      </c>
      <c r="J1280" s="297" t="s">
        <v>13605</v>
      </c>
      <c r="K1280" s="298" t="s">
        <v>15855</v>
      </c>
      <c r="L1280" s="298" t="s">
        <v>15855</v>
      </c>
      <c r="M1280" s="298" t="s">
        <v>15855</v>
      </c>
      <c r="N1280" s="298" t="s">
        <v>15855</v>
      </c>
      <c r="O1280" s="298" t="s">
        <v>15855</v>
      </c>
      <c r="P1280" s="299" t="s">
        <v>15857</v>
      </c>
      <c r="Q1280" s="300" t="s">
        <v>15855</v>
      </c>
      <c r="R1280" s="182" t="str">
        <f ca="1">IF(ISERROR($V1280),"",OFFSET('Smelter Look-up'!$C$4,$V1280-4,0)&amp;"")</f>
        <v>Yunnan Chengfeng Non-ferrous Metals Co., Ltd.</v>
      </c>
      <c r="S1280" s="181" t="str">
        <f t="shared" ca="1" si="182"/>
        <v>CN</v>
      </c>
      <c r="T1280" s="181" t="str">
        <f ca="1">IF(B1280="","",IF(ISERROR(MATCH($J1280,SorP!$B$1:$B$6226,0)),"",INDIRECT("'SorP'!$A$"&amp;MATCH($S1280&amp;$J1280,SorP!C:C,0))))</f>
        <v>CN-YN</v>
      </c>
      <c r="U1280" s="201"/>
      <c r="V1280" s="226">
        <f>IF(C1280="",NA(),IF(OR(C1280="Smelter not listed",C1280="Smelter not yet identified"),MATCH($B1280&amp;$D1280,'Smelter Look-up'!$J:$J,0),MATCH($B1280&amp;$C1280,'Smelter Look-up'!$J:$J,0)))</f>
        <v>568</v>
      </c>
      <c r="X1280" s="227">
        <f t="shared" si="183"/>
        <v>0</v>
      </c>
      <c r="AB1280" s="228" t="str">
        <f t="shared" si="184"/>
        <v>TinYunnan ride non-ferrous metal co., LTD</v>
      </c>
    </row>
    <row r="1281" spans="1:28" s="227" customFormat="1" ht="81">
      <c r="A1281" s="301" t="s">
        <v>781</v>
      </c>
      <c r="B1281" s="293" t="s">
        <v>1120</v>
      </c>
      <c r="C1281" s="294" t="s">
        <v>2516</v>
      </c>
      <c r="D1281" s="295" t="s">
        <v>2150</v>
      </c>
      <c r="E1281" s="293" t="s">
        <v>1090</v>
      </c>
      <c r="F1281" s="293" t="s">
        <v>781</v>
      </c>
      <c r="G1281" s="293" t="s">
        <v>13217</v>
      </c>
      <c r="H1281" s="296" t="s">
        <v>15855</v>
      </c>
      <c r="I1281" s="297" t="s">
        <v>2429</v>
      </c>
      <c r="J1281" s="297" t="s">
        <v>13605</v>
      </c>
      <c r="K1281" s="298" t="s">
        <v>15855</v>
      </c>
      <c r="L1281" s="298" t="s">
        <v>15855</v>
      </c>
      <c r="M1281" s="298" t="s">
        <v>2334</v>
      </c>
      <c r="N1281" s="298" t="s">
        <v>12438</v>
      </c>
      <c r="O1281" s="298" t="s">
        <v>15855</v>
      </c>
      <c r="P1281" s="299" t="s">
        <v>15857</v>
      </c>
      <c r="Q1281" s="300" t="s">
        <v>15855</v>
      </c>
      <c r="R1281" s="182" t="str">
        <f ca="1">IF(ISERROR($V1281),"",OFFSET('Smelter Look-up'!$C$4,$V1281-4,0)&amp;"")</f>
        <v>Yunnan Chengfeng Non-ferrous Metals Co., Ltd.</v>
      </c>
      <c r="S1281" s="181" t="str">
        <f t="shared" ca="1" si="182"/>
        <v>CN</v>
      </c>
      <c r="T1281" s="181" t="str">
        <f ca="1">IF(B1281="","",IF(ISERROR(MATCH($J1281,SorP!$B$1:$B$6226,0)),"",INDIRECT("'SorP'!$A$"&amp;MATCH($S1281&amp;$J1281,SorP!C:C,0))))</f>
        <v>CN-YN</v>
      </c>
      <c r="U1281" s="201"/>
      <c r="V1281" s="226">
        <f>IF(C1281="",NA(),IF(OR(C1281="Smelter not listed",C1281="Smelter not yet identified"),MATCH($B1281&amp;$D1281,'Smelter Look-up'!$J:$J,0),MATCH($B1281&amp;$C1281,'Smelter Look-up'!$J:$J,0)))</f>
        <v>568</v>
      </c>
      <c r="X1281" s="227">
        <f t="shared" si="183"/>
        <v>0</v>
      </c>
      <c r="AB1281" s="228" t="str">
        <f t="shared" si="184"/>
        <v>TinYunnan ride non-ferrous metal co., LTD</v>
      </c>
    </row>
    <row r="1282" spans="1:28" s="227" customFormat="1" ht="54">
      <c r="A1282" s="301" t="s">
        <v>782</v>
      </c>
      <c r="B1282" s="293" t="s">
        <v>1120</v>
      </c>
      <c r="C1282" s="294" t="s">
        <v>37</v>
      </c>
      <c r="D1282" s="295" t="s">
        <v>2325</v>
      </c>
      <c r="E1282" s="293" t="s">
        <v>1090</v>
      </c>
      <c r="F1282" s="293" t="s">
        <v>782</v>
      </c>
      <c r="G1282" s="293" t="s">
        <v>15865</v>
      </c>
      <c r="H1282" s="296" t="s">
        <v>15855</v>
      </c>
      <c r="I1282" s="297" t="s">
        <v>2429</v>
      </c>
      <c r="J1282" s="297" t="s">
        <v>16594</v>
      </c>
      <c r="K1282" s="298" t="s">
        <v>15855</v>
      </c>
      <c r="L1282" s="298" t="s">
        <v>15855</v>
      </c>
      <c r="M1282" s="298" t="s">
        <v>15855</v>
      </c>
      <c r="N1282" s="298" t="s">
        <v>15855</v>
      </c>
      <c r="O1282" s="298" t="s">
        <v>15855</v>
      </c>
      <c r="P1282" s="299" t="s">
        <v>15857</v>
      </c>
      <c r="Q1282" s="300" t="s">
        <v>15855</v>
      </c>
      <c r="R1282" s="182" t="str">
        <f ca="1">IF(ISERROR($V1282),"",OFFSET('Smelter Look-up'!$C$4,$V1282-4,0)&amp;"")</f>
        <v>Tin Smelting Branch of Yunnan Tin Co., Ltd.</v>
      </c>
      <c r="S1282" s="181" t="str">
        <f t="shared" ca="1" si="182"/>
        <v>CN</v>
      </c>
      <c r="T1282" s="181" t="str">
        <f ca="1">IF(B1282="","",IF(ISERROR(MATCH($J1282,SorP!$B$1:$B$6226,0)),"",INDIRECT("'SorP'!$A$"&amp;MATCH($S1282&amp;$J1282,SorP!C:C,0))))</f>
        <v/>
      </c>
      <c r="U1282" s="201"/>
      <c r="V1282" s="226">
        <f>IF(C1282="",NA(),IF(OR(C1282="Smelter not listed",C1282="Smelter not yet identified"),MATCH($B1282&amp;$D1282,'Smelter Look-up'!$J:$J,0),MATCH($B1282&amp;$C1282,'Smelter Look-up'!$J:$J,0)))</f>
        <v>416</v>
      </c>
      <c r="X1282" s="227">
        <f t="shared" si="183"/>
        <v>0</v>
      </c>
      <c r="AB1282" s="228" t="str">
        <f t="shared" si="184"/>
        <v>TinChina Yunnan Tin Co Ltd.</v>
      </c>
    </row>
    <row r="1283" spans="1:28" s="227" customFormat="1" ht="54">
      <c r="A1283" s="301" t="s">
        <v>782</v>
      </c>
      <c r="B1283" s="293" t="s">
        <v>1120</v>
      </c>
      <c r="C1283" s="294" t="s">
        <v>37</v>
      </c>
      <c r="D1283" s="295" t="s">
        <v>2325</v>
      </c>
      <c r="E1283" s="293" t="s">
        <v>1090</v>
      </c>
      <c r="F1283" s="293" t="s">
        <v>782</v>
      </c>
      <c r="G1283" s="293" t="s">
        <v>13217</v>
      </c>
      <c r="H1283" s="296" t="s">
        <v>15855</v>
      </c>
      <c r="I1283" s="297" t="s">
        <v>2429</v>
      </c>
      <c r="J1283" s="297" t="s">
        <v>13605</v>
      </c>
      <c r="K1283" s="298" t="s">
        <v>15855</v>
      </c>
      <c r="L1283" s="298" t="s">
        <v>15855</v>
      </c>
      <c r="M1283" s="298" t="s">
        <v>15855</v>
      </c>
      <c r="N1283" s="298" t="s">
        <v>15855</v>
      </c>
      <c r="O1283" s="298" t="s">
        <v>15855</v>
      </c>
      <c r="P1283" s="299" t="s">
        <v>15857</v>
      </c>
      <c r="Q1283" s="300" t="s">
        <v>15855</v>
      </c>
      <c r="R1283" s="182" t="str">
        <f ca="1">IF(ISERROR($V1283),"",OFFSET('Smelter Look-up'!$C$4,$V1283-4,0)&amp;"")</f>
        <v>Tin Smelting Branch of Yunnan Tin Co., Ltd.</v>
      </c>
      <c r="S1283" s="181" t="str">
        <f t="shared" ca="1" si="182"/>
        <v>CN</v>
      </c>
      <c r="T1283" s="181" t="str">
        <f ca="1">IF(B1283="","",IF(ISERROR(MATCH($J1283,SorP!$B$1:$B$6226,0)),"",INDIRECT("'SorP'!$A$"&amp;MATCH($S1283&amp;$J1283,SorP!C:C,0))))</f>
        <v>CN-YN</v>
      </c>
      <c r="U1283" s="201"/>
      <c r="V1283" s="226">
        <f>IF(C1283="",NA(),IF(OR(C1283="Smelter not listed",C1283="Smelter not yet identified"),MATCH($B1283&amp;$D1283,'Smelter Look-up'!$J:$J,0),MATCH($B1283&amp;$C1283,'Smelter Look-up'!$J:$J,0)))</f>
        <v>416</v>
      </c>
      <c r="X1283" s="227">
        <f t="shared" si="183"/>
        <v>0</v>
      </c>
      <c r="AB1283" s="228" t="str">
        <f t="shared" si="184"/>
        <v>TinChina Yunnan Tin Co Ltd.</v>
      </c>
    </row>
    <row r="1284" spans="1:28" s="227" customFormat="1" ht="54">
      <c r="A1284" s="301" t="s">
        <v>782</v>
      </c>
      <c r="B1284" s="293" t="s">
        <v>1120</v>
      </c>
      <c r="C1284" s="294" t="s">
        <v>37</v>
      </c>
      <c r="D1284" s="295" t="s">
        <v>2325</v>
      </c>
      <c r="E1284" s="293" t="s">
        <v>1090</v>
      </c>
      <c r="F1284" s="293" t="s">
        <v>782</v>
      </c>
      <c r="G1284" s="293" t="s">
        <v>13217</v>
      </c>
      <c r="H1284" s="296" t="s">
        <v>15855</v>
      </c>
      <c r="I1284" s="297" t="s">
        <v>2429</v>
      </c>
      <c r="J1284" s="297" t="s">
        <v>13605</v>
      </c>
      <c r="K1284" s="298" t="s">
        <v>15855</v>
      </c>
      <c r="L1284" s="298" t="s">
        <v>15855</v>
      </c>
      <c r="M1284" s="298" t="s">
        <v>15855</v>
      </c>
      <c r="N1284" s="298" t="s">
        <v>15855</v>
      </c>
      <c r="O1284" s="298" t="s">
        <v>15855</v>
      </c>
      <c r="P1284" s="299" t="s">
        <v>15875</v>
      </c>
      <c r="Q1284" s="300" t="s">
        <v>15855</v>
      </c>
      <c r="R1284" s="182" t="str">
        <f ca="1">IF(ISERROR($V1284),"",OFFSET('Smelter Look-up'!$C$4,$V1284-4,0)&amp;"")</f>
        <v>Tin Smelting Branch of Yunnan Tin Co., Ltd.</v>
      </c>
      <c r="S1284" s="181" t="str">
        <f t="shared" ca="1" si="182"/>
        <v>CN</v>
      </c>
      <c r="T1284" s="181" t="str">
        <f ca="1">IF(B1284="","",IF(ISERROR(MATCH($J1284,SorP!$B$1:$B$6226,0)),"",INDIRECT("'SorP'!$A$"&amp;MATCH($S1284&amp;$J1284,SorP!C:C,0))))</f>
        <v>CN-YN</v>
      </c>
      <c r="U1284" s="201"/>
      <c r="V1284" s="226">
        <f>IF(C1284="",NA(),IF(OR(C1284="Smelter not listed",C1284="Smelter not yet identified"),MATCH($B1284&amp;$D1284,'Smelter Look-up'!$J:$J,0),MATCH($B1284&amp;$C1284,'Smelter Look-up'!$J:$J,0)))</f>
        <v>416</v>
      </c>
      <c r="X1284" s="227">
        <f t="shared" si="183"/>
        <v>0</v>
      </c>
      <c r="AB1284" s="228" t="str">
        <f t="shared" si="184"/>
        <v>TinChina Yunnan Tin Co Ltd.</v>
      </c>
    </row>
    <row r="1285" spans="1:28" s="227" customFormat="1" ht="54">
      <c r="A1285" s="301" t="s">
        <v>782</v>
      </c>
      <c r="B1285" s="293" t="s">
        <v>1120</v>
      </c>
      <c r="C1285" s="294" t="s">
        <v>37</v>
      </c>
      <c r="D1285" s="295" t="s">
        <v>2325</v>
      </c>
      <c r="E1285" s="293" t="s">
        <v>1090</v>
      </c>
      <c r="F1285" s="293" t="s">
        <v>782</v>
      </c>
      <c r="G1285" s="293" t="s">
        <v>13217</v>
      </c>
      <c r="H1285" s="302" t="s">
        <v>15880</v>
      </c>
      <c r="I1285" s="297" t="s">
        <v>2429</v>
      </c>
      <c r="J1285" s="297" t="s">
        <v>13605</v>
      </c>
      <c r="K1285" s="298" t="s">
        <v>15855</v>
      </c>
      <c r="L1285" s="298" t="s">
        <v>15855</v>
      </c>
      <c r="M1285" s="298" t="s">
        <v>15855</v>
      </c>
      <c r="N1285" s="298" t="s">
        <v>15855</v>
      </c>
      <c r="O1285" s="298" t="s">
        <v>15855</v>
      </c>
      <c r="P1285" s="299" t="s">
        <v>15857</v>
      </c>
      <c r="Q1285" s="300" t="s">
        <v>15855</v>
      </c>
      <c r="R1285" s="182" t="str">
        <f ca="1">IF(ISERROR($V1285),"",OFFSET('Smelter Look-up'!$C$4,$V1285-4,0)&amp;"")</f>
        <v>Tin Smelting Branch of Yunnan Tin Co., Ltd.</v>
      </c>
      <c r="S1285" s="181" t="str">
        <f t="shared" ca="1" si="182"/>
        <v>CN</v>
      </c>
      <c r="T1285" s="181" t="str">
        <f ca="1">IF(B1285="","",IF(ISERROR(MATCH($J1285,SorP!$B$1:$B$6226,0)),"",INDIRECT("'SorP'!$A$"&amp;MATCH($S1285&amp;$J1285,SorP!C:C,0))))</f>
        <v>CN-YN</v>
      </c>
      <c r="U1285" s="201"/>
      <c r="V1285" s="226">
        <f>IF(C1285="",NA(),IF(OR(C1285="Smelter not listed",C1285="Smelter not yet identified"),MATCH($B1285&amp;$D1285,'Smelter Look-up'!$J:$J,0),MATCH($B1285&amp;$C1285,'Smelter Look-up'!$J:$J,0)))</f>
        <v>416</v>
      </c>
      <c r="X1285" s="227">
        <f t="shared" si="183"/>
        <v>0</v>
      </c>
      <c r="AB1285" s="228" t="str">
        <f t="shared" si="184"/>
        <v>TinChina Yunnan Tin Co Ltd.</v>
      </c>
    </row>
    <row r="1286" spans="1:28" s="227" customFormat="1" ht="108">
      <c r="A1286" s="301" t="s">
        <v>782</v>
      </c>
      <c r="B1286" s="293" t="s">
        <v>1120</v>
      </c>
      <c r="C1286" s="294" t="s">
        <v>2218</v>
      </c>
      <c r="D1286" s="295" t="s">
        <v>2325</v>
      </c>
      <c r="E1286" s="293" t="s">
        <v>1090</v>
      </c>
      <c r="F1286" s="293" t="s">
        <v>782</v>
      </c>
      <c r="G1286" s="293" t="s">
        <v>15865</v>
      </c>
      <c r="H1286" s="296" t="s">
        <v>15855</v>
      </c>
      <c r="I1286" s="297" t="s">
        <v>2429</v>
      </c>
      <c r="J1286" s="297" t="s">
        <v>16594</v>
      </c>
      <c r="K1286" s="298" t="s">
        <v>15855</v>
      </c>
      <c r="L1286" s="298" t="s">
        <v>15855</v>
      </c>
      <c r="M1286" s="298" t="s">
        <v>15855</v>
      </c>
      <c r="N1286" s="298" t="s">
        <v>15855</v>
      </c>
      <c r="O1286" s="298" t="s">
        <v>15855</v>
      </c>
      <c r="P1286" s="299" t="s">
        <v>15857</v>
      </c>
      <c r="Q1286" s="300" t="s">
        <v>15855</v>
      </c>
      <c r="R1286" s="182" t="str">
        <f ca="1">IF(ISERROR($V1286),"",OFFSET('Smelter Look-up'!$C$4,$V1286-4,0)&amp;"")</f>
        <v>Tin Smelting Branch of Yunnan Tin Co., Ltd.</v>
      </c>
      <c r="S1286" s="181" t="str">
        <f t="shared" ca="1" si="182"/>
        <v>CN</v>
      </c>
      <c r="T1286" s="181" t="str">
        <f ca="1">IF(B1286="","",IF(ISERROR(MATCH($J1286,SorP!$B$1:$B$6226,0)),"",INDIRECT("'SorP'!$A$"&amp;MATCH($S1286&amp;$J1286,SorP!C:C,0))))</f>
        <v/>
      </c>
      <c r="U1286" s="201"/>
      <c r="V1286" s="226">
        <f>IF(C1286="",NA(),IF(OR(C1286="Smelter not listed",C1286="Smelter not yet identified"),MATCH($B1286&amp;$D1286,'Smelter Look-up'!$J:$J,0),MATCH($B1286&amp;$C1286,'Smelter Look-up'!$J:$J,0)))</f>
        <v>542</v>
      </c>
      <c r="X1286" s="227">
        <f t="shared" si="183"/>
        <v>0</v>
      </c>
      <c r="AB1286" s="228" t="str">
        <f t="shared" si="184"/>
        <v>TinSmelting Branch of Yunnan Tin Company Ltd</v>
      </c>
    </row>
    <row r="1287" spans="1:28" s="227" customFormat="1" ht="94.5">
      <c r="A1287" s="301" t="s">
        <v>782</v>
      </c>
      <c r="B1287" s="293" t="s">
        <v>1120</v>
      </c>
      <c r="C1287" s="294" t="s">
        <v>15436</v>
      </c>
      <c r="D1287" s="295" t="s">
        <v>2325</v>
      </c>
      <c r="E1287" s="293" t="s">
        <v>1090</v>
      </c>
      <c r="F1287" s="293" t="s">
        <v>782</v>
      </c>
      <c r="G1287" s="293" t="s">
        <v>13217</v>
      </c>
      <c r="H1287" s="296" t="s">
        <v>15855</v>
      </c>
      <c r="I1287" s="297" t="s">
        <v>2429</v>
      </c>
      <c r="J1287" s="297" t="s">
        <v>13605</v>
      </c>
      <c r="K1287" s="298" t="s">
        <v>15855</v>
      </c>
      <c r="L1287" s="298" t="s">
        <v>15855</v>
      </c>
      <c r="M1287" s="298" t="s">
        <v>15855</v>
      </c>
      <c r="N1287" s="298" t="s">
        <v>15855</v>
      </c>
      <c r="O1287" s="298" t="s">
        <v>16125</v>
      </c>
      <c r="P1287" s="299" t="s">
        <v>15857</v>
      </c>
      <c r="Q1287" s="300" t="s">
        <v>15855</v>
      </c>
      <c r="R1287" s="182" t="str">
        <f ca="1">IF(ISERROR($V1287),"",OFFSET('Smelter Look-up'!$C$4,$V1287-4,0)&amp;"")</f>
        <v>Tin Smelting Branch of Yunnan Tin Co., Ltd.</v>
      </c>
      <c r="S1287" s="181" t="str">
        <f t="shared" ca="1" si="182"/>
        <v>CN</v>
      </c>
      <c r="T1287" s="181" t="str">
        <f ca="1">IF(B1287="","",IF(ISERROR(MATCH($J1287,SorP!$B$1:$B$6226,0)),"",INDIRECT("'SorP'!$A$"&amp;MATCH($S1287&amp;$J1287,SorP!C:C,0))))</f>
        <v>CN-YN</v>
      </c>
      <c r="U1287" s="201"/>
      <c r="V1287" s="226">
        <f>IF(C1287="",NA(),IF(OR(C1287="Smelter not listed",C1287="Smelter not yet identified"),MATCH($B1287&amp;$D1287,'Smelter Look-up'!$J:$J,0),MATCH($B1287&amp;$C1287,'Smelter Look-up'!$J:$J,0)))</f>
        <v>550</v>
      </c>
      <c r="X1287" s="227">
        <f t="shared" si="183"/>
        <v>0</v>
      </c>
      <c r="AB1287" s="228" t="str">
        <f t="shared" si="184"/>
        <v>TinTin Smelting Branch of Yunnan Tin Co., Ltd.</v>
      </c>
    </row>
    <row r="1288" spans="1:28" s="227" customFormat="1" ht="94.5">
      <c r="A1288" s="301" t="s">
        <v>782</v>
      </c>
      <c r="B1288" s="293" t="s">
        <v>1120</v>
      </c>
      <c r="C1288" s="294" t="s">
        <v>15436</v>
      </c>
      <c r="D1288" s="295" t="s">
        <v>2325</v>
      </c>
      <c r="E1288" s="293" t="s">
        <v>1090</v>
      </c>
      <c r="F1288" s="293" t="s">
        <v>782</v>
      </c>
      <c r="G1288" s="293" t="s">
        <v>13217</v>
      </c>
      <c r="H1288" s="302" t="s">
        <v>15880</v>
      </c>
      <c r="I1288" s="297" t="s">
        <v>2429</v>
      </c>
      <c r="J1288" s="297" t="s">
        <v>13605</v>
      </c>
      <c r="K1288" s="298" t="s">
        <v>15881</v>
      </c>
      <c r="L1288" s="298" t="s">
        <v>15881</v>
      </c>
      <c r="M1288" s="298" t="s">
        <v>12593</v>
      </c>
      <c r="N1288" s="298" t="s">
        <v>15881</v>
      </c>
      <c r="O1288" s="298" t="s">
        <v>15881</v>
      </c>
      <c r="P1288" s="299" t="s">
        <v>15857</v>
      </c>
      <c r="Q1288" s="300" t="s">
        <v>15855</v>
      </c>
      <c r="R1288" s="182" t="str">
        <f ca="1">IF(ISERROR($V1288),"",OFFSET('Smelter Look-up'!$C$4,$V1288-4,0)&amp;"")</f>
        <v>Tin Smelting Branch of Yunnan Tin Co., Ltd.</v>
      </c>
      <c r="S1288" s="181" t="str">
        <f t="shared" ca="1" si="182"/>
        <v>CN</v>
      </c>
      <c r="T1288" s="181" t="str">
        <f ca="1">IF(B1288="","",IF(ISERROR(MATCH($J1288,SorP!$B$1:$B$6226,0)),"",INDIRECT("'SorP'!$A$"&amp;MATCH($S1288&amp;$J1288,SorP!C:C,0))))</f>
        <v>CN-YN</v>
      </c>
      <c r="U1288" s="201"/>
      <c r="V1288" s="226">
        <f>IF(C1288="",NA(),IF(OR(C1288="Smelter not listed",C1288="Smelter not yet identified"),MATCH($B1288&amp;$D1288,'Smelter Look-up'!$J:$J,0),MATCH($B1288&amp;$C1288,'Smelter Look-up'!$J:$J,0)))</f>
        <v>550</v>
      </c>
      <c r="X1288" s="227">
        <f t="shared" si="183"/>
        <v>0</v>
      </c>
      <c r="AB1288" s="228" t="str">
        <f t="shared" si="184"/>
        <v>TinTin Smelting Branch of Yunnan Tin Co., Ltd.</v>
      </c>
    </row>
    <row r="1289" spans="1:28" s="227" customFormat="1" ht="54">
      <c r="A1289" s="301" t="s">
        <v>782</v>
      </c>
      <c r="B1289" s="293" t="s">
        <v>1120</v>
      </c>
      <c r="C1289" s="294" t="s">
        <v>2325</v>
      </c>
      <c r="D1289" s="295" t="s">
        <v>2325</v>
      </c>
      <c r="E1289" s="293" t="s">
        <v>1090</v>
      </c>
      <c r="F1289" s="293" t="s">
        <v>782</v>
      </c>
      <c r="G1289" s="293" t="s">
        <v>15864</v>
      </c>
      <c r="H1289" s="302" t="s">
        <v>15880</v>
      </c>
      <c r="I1289" s="297" t="s">
        <v>2429</v>
      </c>
      <c r="J1289" s="297" t="s">
        <v>16594</v>
      </c>
      <c r="K1289" s="298" t="s">
        <v>15855</v>
      </c>
      <c r="L1289" s="298" t="s">
        <v>15855</v>
      </c>
      <c r="M1289" s="298" t="s">
        <v>15855</v>
      </c>
      <c r="N1289" s="298" t="s">
        <v>15896</v>
      </c>
      <c r="O1289" s="298" t="s">
        <v>15896</v>
      </c>
      <c r="P1289" s="299" t="s">
        <v>15857</v>
      </c>
      <c r="Q1289" s="300" t="s">
        <v>15855</v>
      </c>
      <c r="R1289" s="182" t="str">
        <f ca="1">IF(ISERROR($V1289),"",OFFSET('Smelter Look-up'!$C$4,$V1289-4,0)&amp;"")</f>
        <v>Tin Smelting Branch of Yunnan Tin Co., Ltd.</v>
      </c>
      <c r="S1289" s="181" t="str">
        <f t="shared" ca="1" si="182"/>
        <v>CN</v>
      </c>
      <c r="T1289" s="181" t="str">
        <f ca="1">IF(B1289="","",IF(ISERROR(MATCH($J1289,SorP!$B$1:$B$6226,0)),"",INDIRECT("'SorP'!$A$"&amp;MATCH($S1289&amp;$J1289,SorP!C:C,0))))</f>
        <v/>
      </c>
      <c r="U1289" s="201"/>
      <c r="V1289" s="226">
        <f>IF(C1289="",NA(),IF(OR(C1289="Smelter not listed",C1289="Smelter not yet identified"),MATCH($B1289&amp;$D1289,'Smelter Look-up'!$J:$J,0),MATCH($B1289&amp;$C1289,'Smelter Look-up'!$J:$J,0)))</f>
        <v>569</v>
      </c>
      <c r="X1289" s="227">
        <f t="shared" si="183"/>
        <v>0</v>
      </c>
      <c r="AB1289" s="228" t="str">
        <f t="shared" si="184"/>
        <v>TinYunnan Tin Company Limited</v>
      </c>
    </row>
    <row r="1290" spans="1:28" s="227" customFormat="1" ht="54">
      <c r="A1290" s="301" t="s">
        <v>782</v>
      </c>
      <c r="B1290" s="293" t="s">
        <v>1120</v>
      </c>
      <c r="C1290" s="294" t="s">
        <v>2325</v>
      </c>
      <c r="D1290" s="295" t="s">
        <v>2325</v>
      </c>
      <c r="E1290" s="293" t="s">
        <v>1090</v>
      </c>
      <c r="F1290" s="293" t="s">
        <v>782</v>
      </c>
      <c r="G1290" s="293" t="s">
        <v>15865</v>
      </c>
      <c r="H1290" s="296" t="s">
        <v>15855</v>
      </c>
      <c r="I1290" s="297" t="s">
        <v>2429</v>
      </c>
      <c r="J1290" s="297" t="s">
        <v>16594</v>
      </c>
      <c r="K1290" s="298" t="s">
        <v>15855</v>
      </c>
      <c r="L1290" s="298" t="s">
        <v>15855</v>
      </c>
      <c r="M1290" s="298" t="s">
        <v>15855</v>
      </c>
      <c r="N1290" s="298" t="s">
        <v>15855</v>
      </c>
      <c r="O1290" s="298" t="s">
        <v>15855</v>
      </c>
      <c r="P1290" s="299" t="s">
        <v>15857</v>
      </c>
      <c r="Q1290" s="300" t="s">
        <v>15855</v>
      </c>
      <c r="R1290" s="182" t="str">
        <f ca="1">IF(ISERROR($V1290),"",OFFSET('Smelter Look-up'!$C$4,$V1290-4,0)&amp;"")</f>
        <v>Tin Smelting Branch of Yunnan Tin Co., Ltd.</v>
      </c>
      <c r="S1290" s="181" t="str">
        <f t="shared" ca="1" si="182"/>
        <v>CN</v>
      </c>
      <c r="T1290" s="181" t="str">
        <f ca="1">IF(B1290="","",IF(ISERROR(MATCH($J1290,SorP!$B$1:$B$6226,0)),"",INDIRECT("'SorP'!$A$"&amp;MATCH($S1290&amp;$J1290,SorP!C:C,0))))</f>
        <v/>
      </c>
      <c r="U1290" s="201"/>
      <c r="V1290" s="226">
        <f>IF(C1290="",NA(),IF(OR(C1290="Smelter not listed",C1290="Smelter not yet identified"),MATCH($B1290&amp;$D1290,'Smelter Look-up'!$J:$J,0),MATCH($B1290&amp;$C1290,'Smelter Look-up'!$J:$J,0)))</f>
        <v>569</v>
      </c>
      <c r="X1290" s="227">
        <f t="shared" si="183"/>
        <v>0</v>
      </c>
      <c r="AB1290" s="228" t="str">
        <f t="shared" si="184"/>
        <v>TinYunnan Tin Company Limited</v>
      </c>
    </row>
    <row r="1291" spans="1:28" s="227" customFormat="1" ht="54">
      <c r="A1291" s="301" t="s">
        <v>782</v>
      </c>
      <c r="B1291" s="293" t="s">
        <v>1120</v>
      </c>
      <c r="C1291" s="294" t="s">
        <v>2325</v>
      </c>
      <c r="D1291" s="295" t="s">
        <v>2325</v>
      </c>
      <c r="E1291" s="293" t="s">
        <v>1090</v>
      </c>
      <c r="F1291" s="293" t="s">
        <v>782</v>
      </c>
      <c r="G1291" s="293" t="s">
        <v>13217</v>
      </c>
      <c r="H1291" s="296" t="s">
        <v>15855</v>
      </c>
      <c r="I1291" s="297" t="s">
        <v>2429</v>
      </c>
      <c r="J1291" s="297" t="s">
        <v>13605</v>
      </c>
      <c r="K1291" s="298" t="s">
        <v>15855</v>
      </c>
      <c r="L1291" s="298" t="s">
        <v>15855</v>
      </c>
      <c r="M1291" s="298" t="s">
        <v>15855</v>
      </c>
      <c r="N1291" s="298" t="s">
        <v>15855</v>
      </c>
      <c r="O1291" s="298" t="s">
        <v>15855</v>
      </c>
      <c r="P1291" s="299" t="s">
        <v>15857</v>
      </c>
      <c r="Q1291" s="300" t="s">
        <v>15855</v>
      </c>
      <c r="R1291" s="182" t="str">
        <f ca="1">IF(ISERROR($V1291),"",OFFSET('Smelter Look-up'!$C$4,$V1291-4,0)&amp;"")</f>
        <v>Tin Smelting Branch of Yunnan Tin Co., Ltd.</v>
      </c>
      <c r="S1291" s="181" t="str">
        <f t="shared" ca="1" si="182"/>
        <v>CN</v>
      </c>
      <c r="T1291" s="181" t="str">
        <f ca="1">IF(B1291="","",IF(ISERROR(MATCH($J1291,SorP!$B$1:$B$6226,0)),"",INDIRECT("'SorP'!$A$"&amp;MATCH($S1291&amp;$J1291,SorP!C:C,0))))</f>
        <v>CN-YN</v>
      </c>
      <c r="U1291" s="201"/>
      <c r="V1291" s="226">
        <f>IF(C1291="",NA(),IF(OR(C1291="Smelter not listed",C1291="Smelter not yet identified"),MATCH($B1291&amp;$D1291,'Smelter Look-up'!$J:$J,0),MATCH($B1291&amp;$C1291,'Smelter Look-up'!$J:$J,0)))</f>
        <v>569</v>
      </c>
      <c r="X1291" s="227">
        <f t="shared" si="183"/>
        <v>0</v>
      </c>
      <c r="AB1291" s="228" t="str">
        <f t="shared" si="184"/>
        <v>TinYunnan Tin Company Limited</v>
      </c>
    </row>
    <row r="1292" spans="1:28" s="227" customFormat="1" ht="54">
      <c r="A1292" s="301" t="s">
        <v>782</v>
      </c>
      <c r="B1292" s="293" t="s">
        <v>1120</v>
      </c>
      <c r="C1292" s="294" t="s">
        <v>2325</v>
      </c>
      <c r="D1292" s="295" t="s">
        <v>2325</v>
      </c>
      <c r="E1292" s="293" t="s">
        <v>1090</v>
      </c>
      <c r="F1292" s="293" t="s">
        <v>782</v>
      </c>
      <c r="G1292" s="293" t="s">
        <v>13217</v>
      </c>
      <c r="H1292" s="296" t="s">
        <v>15855</v>
      </c>
      <c r="I1292" s="297" t="s">
        <v>2429</v>
      </c>
      <c r="J1292" s="297" t="s">
        <v>13605</v>
      </c>
      <c r="K1292" s="298" t="s">
        <v>15855</v>
      </c>
      <c r="L1292" s="298" t="s">
        <v>15855</v>
      </c>
      <c r="M1292" s="298" t="s">
        <v>15855</v>
      </c>
      <c r="N1292" s="298" t="s">
        <v>15855</v>
      </c>
      <c r="O1292" s="298" t="s">
        <v>15855</v>
      </c>
      <c r="P1292" s="299" t="s">
        <v>15857</v>
      </c>
      <c r="Q1292" s="300" t="s">
        <v>16531</v>
      </c>
      <c r="R1292" s="182" t="str">
        <f ca="1">IF(ISERROR($V1292),"",OFFSET('Smelter Look-up'!$C$4,$V1292-4,0)&amp;"")</f>
        <v>Tin Smelting Branch of Yunnan Tin Co., Ltd.</v>
      </c>
      <c r="S1292" s="181" t="str">
        <f t="shared" ca="1" si="182"/>
        <v>CN</v>
      </c>
      <c r="T1292" s="181" t="str">
        <f ca="1">IF(B1292="","",IF(ISERROR(MATCH($J1292,SorP!$B$1:$B$6226,0)),"",INDIRECT("'SorP'!$A$"&amp;MATCH($S1292&amp;$J1292,SorP!C:C,0))))</f>
        <v>CN-YN</v>
      </c>
      <c r="U1292" s="201"/>
      <c r="V1292" s="226">
        <f>IF(C1292="",NA(),IF(OR(C1292="Smelter not listed",C1292="Smelter not yet identified"),MATCH($B1292&amp;$D1292,'Smelter Look-up'!$J:$J,0),MATCH($B1292&amp;$C1292,'Smelter Look-up'!$J:$J,0)))</f>
        <v>569</v>
      </c>
      <c r="X1292" s="227">
        <f t="shared" si="183"/>
        <v>0</v>
      </c>
      <c r="AB1292" s="228" t="str">
        <f t="shared" si="184"/>
        <v>TinYunnan Tin Company Limited</v>
      </c>
    </row>
    <row r="1293" spans="1:28" s="227" customFormat="1" ht="54">
      <c r="A1293" s="301" t="s">
        <v>782</v>
      </c>
      <c r="B1293" s="293" t="s">
        <v>1120</v>
      </c>
      <c r="C1293" s="294" t="s">
        <v>2325</v>
      </c>
      <c r="D1293" s="295" t="s">
        <v>2325</v>
      </c>
      <c r="E1293" s="293" t="s">
        <v>1090</v>
      </c>
      <c r="F1293" s="293" t="s">
        <v>782</v>
      </c>
      <c r="G1293" s="293" t="s">
        <v>13217</v>
      </c>
      <c r="H1293" s="302" t="s">
        <v>15880</v>
      </c>
      <c r="I1293" s="297" t="s">
        <v>2429</v>
      </c>
      <c r="J1293" s="297" t="s">
        <v>16594</v>
      </c>
      <c r="K1293" s="298" t="s">
        <v>15855</v>
      </c>
      <c r="L1293" s="298" t="s">
        <v>15855</v>
      </c>
      <c r="M1293" s="298" t="s">
        <v>15855</v>
      </c>
      <c r="N1293" s="298" t="s">
        <v>15855</v>
      </c>
      <c r="O1293" s="298" t="s">
        <v>15855</v>
      </c>
      <c r="P1293" s="299" t="s">
        <v>15857</v>
      </c>
      <c r="Q1293" s="300" t="s">
        <v>15855</v>
      </c>
      <c r="R1293" s="182" t="str">
        <f ca="1">IF(ISERROR($V1293),"",OFFSET('Smelter Look-up'!$C$4,$V1293-4,0)&amp;"")</f>
        <v>Tin Smelting Branch of Yunnan Tin Co., Ltd.</v>
      </c>
      <c r="S1293" s="181" t="str">
        <f t="shared" ca="1" si="182"/>
        <v>CN</v>
      </c>
      <c r="T1293" s="181" t="str">
        <f ca="1">IF(B1293="","",IF(ISERROR(MATCH($J1293,SorP!$B$1:$B$6226,0)),"",INDIRECT("'SorP'!$A$"&amp;MATCH($S1293&amp;$J1293,SorP!C:C,0))))</f>
        <v/>
      </c>
      <c r="U1293" s="201"/>
      <c r="V1293" s="226">
        <f>IF(C1293="",NA(),IF(OR(C1293="Smelter not listed",C1293="Smelter not yet identified"),MATCH($B1293&amp;$D1293,'Smelter Look-up'!$J:$J,0),MATCH($B1293&amp;$C1293,'Smelter Look-up'!$J:$J,0)))</f>
        <v>569</v>
      </c>
      <c r="X1293" s="227">
        <f t="shared" si="183"/>
        <v>0</v>
      </c>
      <c r="AB1293" s="228" t="str">
        <f t="shared" si="184"/>
        <v>TinYunnan Tin Company Limited</v>
      </c>
    </row>
    <row r="1294" spans="1:28" s="227" customFormat="1" ht="54">
      <c r="A1294" s="301" t="s">
        <v>782</v>
      </c>
      <c r="B1294" s="293" t="s">
        <v>1120</v>
      </c>
      <c r="C1294" s="294" t="s">
        <v>2325</v>
      </c>
      <c r="D1294" s="295" t="s">
        <v>2325</v>
      </c>
      <c r="E1294" s="293" t="s">
        <v>1090</v>
      </c>
      <c r="F1294" s="293" t="s">
        <v>782</v>
      </c>
      <c r="G1294" s="293" t="s">
        <v>13217</v>
      </c>
      <c r="H1294" s="302" t="s">
        <v>15880</v>
      </c>
      <c r="I1294" s="297" t="s">
        <v>2429</v>
      </c>
      <c r="J1294" s="297" t="s">
        <v>13605</v>
      </c>
      <c r="K1294" s="298" t="s">
        <v>15855</v>
      </c>
      <c r="L1294" s="298" t="s">
        <v>15855</v>
      </c>
      <c r="M1294" s="298" t="s">
        <v>15855</v>
      </c>
      <c r="N1294" s="298" t="s">
        <v>15855</v>
      </c>
      <c r="O1294" s="298" t="s">
        <v>15855</v>
      </c>
      <c r="P1294" s="299" t="s">
        <v>15857</v>
      </c>
      <c r="Q1294" s="300" t="s">
        <v>15855</v>
      </c>
      <c r="R1294" s="182" t="str">
        <f ca="1">IF(ISERROR($V1294),"",OFFSET('Smelter Look-up'!$C$4,$V1294-4,0)&amp;"")</f>
        <v>Tin Smelting Branch of Yunnan Tin Co., Ltd.</v>
      </c>
      <c r="S1294" s="181" t="str">
        <f t="shared" ca="1" si="182"/>
        <v>CN</v>
      </c>
      <c r="T1294" s="181" t="str">
        <f ca="1">IF(B1294="","",IF(ISERROR(MATCH($J1294,SorP!$B$1:$B$6226,0)),"",INDIRECT("'SorP'!$A$"&amp;MATCH($S1294&amp;$J1294,SorP!C:C,0))))</f>
        <v>CN-YN</v>
      </c>
      <c r="U1294" s="201"/>
      <c r="V1294" s="226">
        <f>IF(C1294="",NA(),IF(OR(C1294="Smelter not listed",C1294="Smelter not yet identified"),MATCH($B1294&amp;$D1294,'Smelter Look-up'!$J:$J,0),MATCH($B1294&amp;$C1294,'Smelter Look-up'!$J:$J,0)))</f>
        <v>569</v>
      </c>
      <c r="X1294" s="227">
        <f t="shared" si="183"/>
        <v>0</v>
      </c>
      <c r="AB1294" s="228" t="str">
        <f t="shared" si="184"/>
        <v>TinYunnan Tin Company Limited</v>
      </c>
    </row>
    <row r="1295" spans="1:28" s="227" customFormat="1" ht="54">
      <c r="A1295" s="301" t="s">
        <v>782</v>
      </c>
      <c r="B1295" s="293" t="s">
        <v>1120</v>
      </c>
      <c r="C1295" s="294" t="s">
        <v>2325</v>
      </c>
      <c r="D1295" s="295" t="s">
        <v>2325</v>
      </c>
      <c r="E1295" s="293" t="s">
        <v>1090</v>
      </c>
      <c r="F1295" s="293" t="s">
        <v>782</v>
      </c>
      <c r="G1295" s="293" t="s">
        <v>13217</v>
      </c>
      <c r="H1295" s="296" t="s">
        <v>2415</v>
      </c>
      <c r="I1295" s="297" t="s">
        <v>2429</v>
      </c>
      <c r="J1295" s="297" t="s">
        <v>13605</v>
      </c>
      <c r="K1295" s="298" t="s">
        <v>15855</v>
      </c>
      <c r="L1295" s="298" t="s">
        <v>15855</v>
      </c>
      <c r="M1295" s="298" t="s">
        <v>15855</v>
      </c>
      <c r="N1295" s="298" t="s">
        <v>15855</v>
      </c>
      <c r="O1295" s="298" t="s">
        <v>15855</v>
      </c>
      <c r="P1295" s="299" t="s">
        <v>15857</v>
      </c>
      <c r="Q1295" s="300" t="s">
        <v>15855</v>
      </c>
      <c r="R1295" s="182" t="str">
        <f ca="1">IF(ISERROR($V1295),"",OFFSET('Smelter Look-up'!$C$4,$V1295-4,0)&amp;"")</f>
        <v>Tin Smelting Branch of Yunnan Tin Co., Ltd.</v>
      </c>
      <c r="S1295" s="181" t="str">
        <f t="shared" ca="1" si="182"/>
        <v>CN</v>
      </c>
      <c r="T1295" s="181" t="str">
        <f ca="1">IF(B1295="","",IF(ISERROR(MATCH($J1295,SorP!$B$1:$B$6226,0)),"",INDIRECT("'SorP'!$A$"&amp;MATCH($S1295&amp;$J1295,SorP!C:C,0))))</f>
        <v>CN-YN</v>
      </c>
      <c r="U1295" s="201"/>
      <c r="V1295" s="226">
        <f>IF(C1295="",NA(),IF(OR(C1295="Smelter not listed",C1295="Smelter not yet identified"),MATCH($B1295&amp;$D1295,'Smelter Look-up'!$J:$J,0),MATCH($B1295&amp;$C1295,'Smelter Look-up'!$J:$J,0)))</f>
        <v>569</v>
      </c>
      <c r="X1295" s="227">
        <f t="shared" si="183"/>
        <v>0</v>
      </c>
      <c r="AB1295" s="228" t="str">
        <f t="shared" si="184"/>
        <v>TinYunnan Tin Company Limited</v>
      </c>
    </row>
    <row r="1296" spans="1:28" s="227" customFormat="1" ht="54">
      <c r="A1296" s="301" t="s">
        <v>782</v>
      </c>
      <c r="B1296" s="293" t="s">
        <v>1120</v>
      </c>
      <c r="C1296" s="294" t="s">
        <v>2325</v>
      </c>
      <c r="D1296" s="295" t="s">
        <v>2325</v>
      </c>
      <c r="E1296" s="293" t="s">
        <v>1090</v>
      </c>
      <c r="F1296" s="293" t="s">
        <v>782</v>
      </c>
      <c r="G1296" s="293" t="s">
        <v>13217</v>
      </c>
      <c r="H1296" s="296" t="s">
        <v>16935</v>
      </c>
      <c r="I1296" s="297" t="s">
        <v>2429</v>
      </c>
      <c r="J1296" s="297" t="s">
        <v>13605</v>
      </c>
      <c r="K1296" s="298" t="s">
        <v>16936</v>
      </c>
      <c r="L1296" s="298" t="s">
        <v>16922</v>
      </c>
      <c r="M1296" s="298" t="s">
        <v>16548</v>
      </c>
      <c r="N1296" s="298" t="s">
        <v>16937</v>
      </c>
      <c r="O1296" s="298" t="s">
        <v>16938</v>
      </c>
      <c r="P1296" s="299" t="s">
        <v>15857</v>
      </c>
      <c r="Q1296" s="300" t="s">
        <v>15855</v>
      </c>
      <c r="R1296" s="182" t="str">
        <f ca="1">IF(ISERROR($V1296),"",OFFSET('Smelter Look-up'!$C$4,$V1296-4,0)&amp;"")</f>
        <v>Tin Smelting Branch of Yunnan Tin Co., Ltd.</v>
      </c>
      <c r="S1296" s="181" t="str">
        <f t="shared" ca="1" si="182"/>
        <v>CN</v>
      </c>
      <c r="T1296" s="181" t="str">
        <f ca="1">IF(B1296="","",IF(ISERROR(MATCH($J1296,SorP!$B$1:$B$6226,0)),"",INDIRECT("'SorP'!$A$"&amp;MATCH($S1296&amp;$J1296,SorP!C:C,0))))</f>
        <v>CN-YN</v>
      </c>
      <c r="U1296" s="201"/>
      <c r="V1296" s="226">
        <f>IF(C1296="",NA(),IF(OR(C1296="Smelter not listed",C1296="Smelter not yet identified"),MATCH($B1296&amp;$D1296,'Smelter Look-up'!$J:$J,0),MATCH($B1296&amp;$C1296,'Smelter Look-up'!$J:$J,0)))</f>
        <v>569</v>
      </c>
      <c r="X1296" s="227">
        <f t="shared" si="183"/>
        <v>0</v>
      </c>
      <c r="AB1296" s="228" t="str">
        <f t="shared" si="184"/>
        <v>TinYunnan Tin Company Limited</v>
      </c>
    </row>
    <row r="1297" spans="1:28" s="227" customFormat="1" ht="54">
      <c r="A1297" s="301" t="s">
        <v>782</v>
      </c>
      <c r="B1297" s="293" t="s">
        <v>1120</v>
      </c>
      <c r="C1297" s="294" t="s">
        <v>49</v>
      </c>
      <c r="D1297" s="295" t="s">
        <v>2325</v>
      </c>
      <c r="E1297" s="293" t="s">
        <v>1090</v>
      </c>
      <c r="F1297" s="293" t="s">
        <v>782</v>
      </c>
      <c r="G1297" s="293" t="s">
        <v>15864</v>
      </c>
      <c r="H1297" s="302" t="s">
        <v>15880</v>
      </c>
      <c r="I1297" s="297" t="s">
        <v>2429</v>
      </c>
      <c r="J1297" s="297" t="s">
        <v>16594</v>
      </c>
      <c r="K1297" s="298" t="s">
        <v>15855</v>
      </c>
      <c r="L1297" s="298" t="s">
        <v>15855</v>
      </c>
      <c r="M1297" s="298" t="s">
        <v>15855</v>
      </c>
      <c r="N1297" s="298" t="s">
        <v>15855</v>
      </c>
      <c r="O1297" s="298" t="s">
        <v>15855</v>
      </c>
      <c r="P1297" s="299" t="s">
        <v>15857</v>
      </c>
      <c r="Q1297" s="300" t="s">
        <v>15855</v>
      </c>
      <c r="R1297" s="182" t="str">
        <f ca="1">IF(ISERROR($V1297),"",OFFSET('Smelter Look-up'!$C$4,$V1297-4,0)&amp;"")</f>
        <v>Tin Smelting Branch of Yunnan Tin Co., Ltd.</v>
      </c>
      <c r="S1297" s="181" t="str">
        <f t="shared" ca="1" si="182"/>
        <v>CN</v>
      </c>
      <c r="T1297" s="181" t="str">
        <f ca="1">IF(B1297="","",IF(ISERROR(MATCH($J1297,SorP!$B$1:$B$6226,0)),"",INDIRECT("'SorP'!$A$"&amp;MATCH($S1297&amp;$J1297,SorP!C:C,0))))</f>
        <v/>
      </c>
      <c r="U1297" s="201"/>
      <c r="V1297" s="226">
        <f>IF(C1297="",NA(),IF(OR(C1297="Smelter not listed",C1297="Smelter not yet identified"),MATCH($B1297&amp;$D1297,'Smelter Look-up'!$J:$J,0),MATCH($B1297&amp;$C1297,'Smelter Look-up'!$J:$J,0)))</f>
        <v>570</v>
      </c>
      <c r="X1297" s="227">
        <f t="shared" si="183"/>
        <v>0</v>
      </c>
      <c r="AB1297" s="228" t="str">
        <f t="shared" si="184"/>
        <v>TinYunnan Tin Company, Ltd.</v>
      </c>
    </row>
    <row r="1298" spans="1:28" s="227" customFormat="1" ht="54">
      <c r="A1298" s="301" t="s">
        <v>782</v>
      </c>
      <c r="B1298" s="293" t="s">
        <v>1120</v>
      </c>
      <c r="C1298" s="294" t="s">
        <v>49</v>
      </c>
      <c r="D1298" s="295" t="s">
        <v>2325</v>
      </c>
      <c r="E1298" s="293" t="s">
        <v>1090</v>
      </c>
      <c r="F1298" s="293" t="s">
        <v>782</v>
      </c>
      <c r="G1298" s="293" t="s">
        <v>15865</v>
      </c>
      <c r="H1298" s="296" t="s">
        <v>15855</v>
      </c>
      <c r="I1298" s="297" t="s">
        <v>2429</v>
      </c>
      <c r="J1298" s="297" t="s">
        <v>16594</v>
      </c>
      <c r="K1298" s="298" t="s">
        <v>15855</v>
      </c>
      <c r="L1298" s="298" t="s">
        <v>15855</v>
      </c>
      <c r="M1298" s="298" t="s">
        <v>15855</v>
      </c>
      <c r="N1298" s="298" t="s">
        <v>15855</v>
      </c>
      <c r="O1298" s="298" t="s">
        <v>15855</v>
      </c>
      <c r="P1298" s="299" t="s">
        <v>15857</v>
      </c>
      <c r="Q1298" s="300" t="s">
        <v>15855</v>
      </c>
      <c r="R1298" s="182" t="str">
        <f ca="1">IF(ISERROR($V1298),"",OFFSET('Smelter Look-up'!$C$4,$V1298-4,0)&amp;"")</f>
        <v>Tin Smelting Branch of Yunnan Tin Co., Ltd.</v>
      </c>
      <c r="S1298" s="181" t="str">
        <f t="shared" ca="1" si="182"/>
        <v>CN</v>
      </c>
      <c r="T1298" s="181" t="str">
        <f ca="1">IF(B1298="","",IF(ISERROR(MATCH($J1298,SorP!$B$1:$B$6226,0)),"",INDIRECT("'SorP'!$A$"&amp;MATCH($S1298&amp;$J1298,SorP!C:C,0))))</f>
        <v/>
      </c>
      <c r="U1298" s="201"/>
      <c r="V1298" s="226">
        <f>IF(C1298="",NA(),IF(OR(C1298="Smelter not listed",C1298="Smelter not yet identified"),MATCH($B1298&amp;$D1298,'Smelter Look-up'!$J:$J,0),MATCH($B1298&amp;$C1298,'Smelter Look-up'!$J:$J,0)))</f>
        <v>570</v>
      </c>
      <c r="X1298" s="227">
        <f t="shared" si="183"/>
        <v>0</v>
      </c>
      <c r="AB1298" s="228" t="str">
        <f t="shared" si="184"/>
        <v>TinYunnan Tin Company, Ltd.</v>
      </c>
    </row>
    <row r="1299" spans="1:28" s="227" customFormat="1" ht="54">
      <c r="A1299" s="301" t="s">
        <v>782</v>
      </c>
      <c r="B1299" s="293" t="s">
        <v>1120</v>
      </c>
      <c r="C1299" s="294" t="s">
        <v>49</v>
      </c>
      <c r="D1299" s="295" t="s">
        <v>2325</v>
      </c>
      <c r="E1299" s="293" t="s">
        <v>1090</v>
      </c>
      <c r="F1299" s="293" t="s">
        <v>782</v>
      </c>
      <c r="G1299" s="293" t="s">
        <v>15865</v>
      </c>
      <c r="H1299" s="296" t="s">
        <v>15855</v>
      </c>
      <c r="I1299" s="297" t="s">
        <v>2429</v>
      </c>
      <c r="J1299" s="297" t="s">
        <v>16594</v>
      </c>
      <c r="K1299" s="298" t="s">
        <v>15855</v>
      </c>
      <c r="L1299" s="298" t="s">
        <v>15855</v>
      </c>
      <c r="M1299" s="298" t="s">
        <v>782</v>
      </c>
      <c r="N1299" s="298" t="s">
        <v>15855</v>
      </c>
      <c r="O1299" s="298" t="s">
        <v>15855</v>
      </c>
      <c r="P1299" s="299" t="s">
        <v>15857</v>
      </c>
      <c r="Q1299" s="300" t="s">
        <v>15855</v>
      </c>
      <c r="R1299" s="182" t="str">
        <f ca="1">IF(ISERROR($V1299),"",OFFSET('Smelter Look-up'!$C$4,$V1299-4,0)&amp;"")</f>
        <v>Tin Smelting Branch of Yunnan Tin Co., Ltd.</v>
      </c>
      <c r="S1299" s="181" t="str">
        <f t="shared" ca="1" si="182"/>
        <v>CN</v>
      </c>
      <c r="T1299" s="181" t="str">
        <f ca="1">IF(B1299="","",IF(ISERROR(MATCH($J1299,SorP!$B$1:$B$6226,0)),"",INDIRECT("'SorP'!$A$"&amp;MATCH($S1299&amp;$J1299,SorP!C:C,0))))</f>
        <v/>
      </c>
      <c r="U1299" s="201"/>
      <c r="V1299" s="226">
        <f>IF(C1299="",NA(),IF(OR(C1299="Smelter not listed",C1299="Smelter not yet identified"),MATCH($B1299&amp;$D1299,'Smelter Look-up'!$J:$J,0),MATCH($B1299&amp;$C1299,'Smelter Look-up'!$J:$J,0)))</f>
        <v>570</v>
      </c>
      <c r="X1299" s="227">
        <f t="shared" si="183"/>
        <v>0</v>
      </c>
      <c r="AB1299" s="228" t="str">
        <f t="shared" si="184"/>
        <v>TinYunnan Tin Company, Ltd.</v>
      </c>
    </row>
    <row r="1300" spans="1:28" s="227" customFormat="1" ht="54">
      <c r="A1300" s="301" t="s">
        <v>782</v>
      </c>
      <c r="B1300" s="293" t="s">
        <v>1120</v>
      </c>
      <c r="C1300" s="294" t="s">
        <v>49</v>
      </c>
      <c r="D1300" s="295" t="s">
        <v>2325</v>
      </c>
      <c r="E1300" s="293" t="s">
        <v>1090</v>
      </c>
      <c r="F1300" s="293" t="s">
        <v>782</v>
      </c>
      <c r="G1300" s="293" t="s">
        <v>13217</v>
      </c>
      <c r="H1300" s="296" t="s">
        <v>15855</v>
      </c>
      <c r="I1300" s="297" t="s">
        <v>2429</v>
      </c>
      <c r="J1300" s="297" t="s">
        <v>13605</v>
      </c>
      <c r="K1300" s="298" t="s">
        <v>15855</v>
      </c>
      <c r="L1300" s="298" t="s">
        <v>15855</v>
      </c>
      <c r="M1300" s="298" t="s">
        <v>15855</v>
      </c>
      <c r="N1300" s="298" t="s">
        <v>15855</v>
      </c>
      <c r="O1300" s="298" t="s">
        <v>15855</v>
      </c>
      <c r="P1300" s="299" t="s">
        <v>15857</v>
      </c>
      <c r="Q1300" s="300" t="s">
        <v>15855</v>
      </c>
      <c r="R1300" s="182" t="str">
        <f ca="1">IF(ISERROR($V1300),"",OFFSET('Smelter Look-up'!$C$4,$V1300-4,0)&amp;"")</f>
        <v>Tin Smelting Branch of Yunnan Tin Co., Ltd.</v>
      </c>
      <c r="S1300" s="181" t="str">
        <f t="shared" ca="1" si="182"/>
        <v>CN</v>
      </c>
      <c r="T1300" s="181" t="str">
        <f ca="1">IF(B1300="","",IF(ISERROR(MATCH($J1300,SorP!$B$1:$B$6226,0)),"",INDIRECT("'SorP'!$A$"&amp;MATCH($S1300&amp;$J1300,SorP!C:C,0))))</f>
        <v>CN-YN</v>
      </c>
      <c r="U1300" s="201"/>
      <c r="V1300" s="226">
        <f>IF(C1300="",NA(),IF(OR(C1300="Smelter not listed",C1300="Smelter not yet identified"),MATCH($B1300&amp;$D1300,'Smelter Look-up'!$J:$J,0),MATCH($B1300&amp;$C1300,'Smelter Look-up'!$J:$J,0)))</f>
        <v>570</v>
      </c>
      <c r="X1300" s="227">
        <f t="shared" si="183"/>
        <v>0</v>
      </c>
      <c r="AB1300" s="228" t="str">
        <f t="shared" si="184"/>
        <v>TinYunnan Tin Company, Ltd.</v>
      </c>
    </row>
    <row r="1301" spans="1:28" s="227" customFormat="1" ht="54">
      <c r="A1301" s="301" t="s">
        <v>782</v>
      </c>
      <c r="B1301" s="293" t="s">
        <v>1120</v>
      </c>
      <c r="C1301" s="294" t="s">
        <v>49</v>
      </c>
      <c r="D1301" s="295" t="s">
        <v>2325</v>
      </c>
      <c r="E1301" s="293" t="s">
        <v>1090</v>
      </c>
      <c r="F1301" s="293" t="s">
        <v>782</v>
      </c>
      <c r="G1301" s="293" t="s">
        <v>13217</v>
      </c>
      <c r="H1301" s="296" t="s">
        <v>15855</v>
      </c>
      <c r="I1301" s="297" t="s">
        <v>2429</v>
      </c>
      <c r="J1301" s="297" t="s">
        <v>13605</v>
      </c>
      <c r="K1301" s="298" t="s">
        <v>16939</v>
      </c>
      <c r="L1301" s="298" t="s">
        <v>16542</v>
      </c>
      <c r="M1301" s="298" t="s">
        <v>2334</v>
      </c>
      <c r="N1301" s="298" t="s">
        <v>2334</v>
      </c>
      <c r="O1301" s="298" t="s">
        <v>2334</v>
      </c>
      <c r="P1301" s="299" t="s">
        <v>15857</v>
      </c>
      <c r="Q1301" s="300" t="s">
        <v>15855</v>
      </c>
      <c r="R1301" s="182" t="str">
        <f ca="1">IF(ISERROR($V1301),"",OFFSET('Smelter Look-up'!$C$4,$V1301-4,0)&amp;"")</f>
        <v>Tin Smelting Branch of Yunnan Tin Co., Ltd.</v>
      </c>
      <c r="S1301" s="181" t="str">
        <f t="shared" ca="1" si="182"/>
        <v>CN</v>
      </c>
      <c r="T1301" s="181" t="str">
        <f ca="1">IF(B1301="","",IF(ISERROR(MATCH($J1301,SorP!$B$1:$B$6226,0)),"",INDIRECT("'SorP'!$A$"&amp;MATCH($S1301&amp;$J1301,SorP!C:C,0))))</f>
        <v>CN-YN</v>
      </c>
      <c r="U1301" s="201"/>
      <c r="V1301" s="226">
        <f>IF(C1301="",NA(),IF(OR(C1301="Smelter not listed",C1301="Smelter not yet identified"),MATCH($B1301&amp;$D1301,'Smelter Look-up'!$J:$J,0),MATCH($B1301&amp;$C1301,'Smelter Look-up'!$J:$J,0)))</f>
        <v>570</v>
      </c>
      <c r="X1301" s="227">
        <f t="shared" si="183"/>
        <v>0</v>
      </c>
      <c r="AB1301" s="228" t="str">
        <f t="shared" si="184"/>
        <v>TinYunnan Tin Company, Ltd.</v>
      </c>
    </row>
    <row r="1302" spans="1:28" s="227" customFormat="1" ht="54">
      <c r="A1302" s="301" t="s">
        <v>782</v>
      </c>
      <c r="B1302" s="293" t="s">
        <v>1120</v>
      </c>
      <c r="C1302" s="294" t="s">
        <v>49</v>
      </c>
      <c r="D1302" s="295" t="s">
        <v>2325</v>
      </c>
      <c r="E1302" s="293" t="s">
        <v>1090</v>
      </c>
      <c r="F1302" s="293" t="s">
        <v>782</v>
      </c>
      <c r="G1302" s="293" t="s">
        <v>13217</v>
      </c>
      <c r="H1302" s="302" t="s">
        <v>15880</v>
      </c>
      <c r="I1302" s="297" t="s">
        <v>2429</v>
      </c>
      <c r="J1302" s="297" t="s">
        <v>16594</v>
      </c>
      <c r="K1302" s="298" t="s">
        <v>16939</v>
      </c>
      <c r="L1302" s="298" t="s">
        <v>16542</v>
      </c>
      <c r="M1302" s="298" t="s">
        <v>2334</v>
      </c>
      <c r="N1302" s="298" t="s">
        <v>2334</v>
      </c>
      <c r="O1302" s="298" t="s">
        <v>2334</v>
      </c>
      <c r="P1302" s="299" t="s">
        <v>15857</v>
      </c>
      <c r="Q1302" s="300" t="s">
        <v>15855</v>
      </c>
      <c r="R1302" s="182" t="str">
        <f ca="1">IF(ISERROR($V1302),"",OFFSET('Smelter Look-up'!$C$4,$V1302-4,0)&amp;"")</f>
        <v>Tin Smelting Branch of Yunnan Tin Co., Ltd.</v>
      </c>
      <c r="S1302" s="181" t="str">
        <f t="shared" ca="1" si="182"/>
        <v>CN</v>
      </c>
      <c r="T1302" s="181" t="str">
        <f ca="1">IF(B1302="","",IF(ISERROR(MATCH($J1302,SorP!$B$1:$B$6226,0)),"",INDIRECT("'SorP'!$A$"&amp;MATCH($S1302&amp;$J1302,SorP!C:C,0))))</f>
        <v/>
      </c>
      <c r="U1302" s="201"/>
      <c r="V1302" s="226">
        <f>IF(C1302="",NA(),IF(OR(C1302="Smelter not listed",C1302="Smelter not yet identified"),MATCH($B1302&amp;$D1302,'Smelter Look-up'!$J:$J,0),MATCH($B1302&amp;$C1302,'Smelter Look-up'!$J:$J,0)))</f>
        <v>570</v>
      </c>
      <c r="X1302" s="227">
        <f t="shared" si="183"/>
        <v>0</v>
      </c>
      <c r="AB1302" s="228" t="str">
        <f t="shared" si="184"/>
        <v>TinYunnan Tin Company, Ltd.</v>
      </c>
    </row>
    <row r="1303" spans="1:28" s="227" customFormat="1" ht="54">
      <c r="A1303" s="301" t="s">
        <v>782</v>
      </c>
      <c r="B1303" s="293" t="s">
        <v>1120</v>
      </c>
      <c r="C1303" s="294" t="s">
        <v>49</v>
      </c>
      <c r="D1303" s="295" t="s">
        <v>2325</v>
      </c>
      <c r="E1303" s="293" t="s">
        <v>1090</v>
      </c>
      <c r="F1303" s="293" t="s">
        <v>782</v>
      </c>
      <c r="G1303" s="293" t="s">
        <v>13217</v>
      </c>
      <c r="H1303" s="302" t="s">
        <v>15880</v>
      </c>
      <c r="I1303" s="297" t="s">
        <v>2429</v>
      </c>
      <c r="J1303" s="297" t="s">
        <v>13605</v>
      </c>
      <c r="K1303" s="298" t="s">
        <v>15855</v>
      </c>
      <c r="L1303" s="298" t="s">
        <v>15855</v>
      </c>
      <c r="M1303" s="298" t="s">
        <v>15855</v>
      </c>
      <c r="N1303" s="298" t="s">
        <v>15855</v>
      </c>
      <c r="O1303" s="298" t="s">
        <v>15855</v>
      </c>
      <c r="P1303" s="299" t="s">
        <v>15857</v>
      </c>
      <c r="Q1303" s="300" t="s">
        <v>15855</v>
      </c>
      <c r="R1303" s="182" t="str">
        <f ca="1">IF(ISERROR($V1303),"",OFFSET('Smelter Look-up'!$C$4,$V1303-4,0)&amp;"")</f>
        <v>Tin Smelting Branch of Yunnan Tin Co., Ltd.</v>
      </c>
      <c r="S1303" s="181" t="str">
        <f t="shared" ca="1" si="182"/>
        <v>CN</v>
      </c>
      <c r="T1303" s="181" t="str">
        <f ca="1">IF(B1303="","",IF(ISERROR(MATCH($J1303,SorP!$B$1:$B$6226,0)),"",INDIRECT("'SorP'!$A$"&amp;MATCH($S1303&amp;$J1303,SorP!C:C,0))))</f>
        <v>CN-YN</v>
      </c>
      <c r="U1303" s="201"/>
      <c r="V1303" s="226">
        <f>IF(C1303="",NA(),IF(OR(C1303="Smelter not listed",C1303="Smelter not yet identified"),MATCH($B1303&amp;$D1303,'Smelter Look-up'!$J:$J,0),MATCH($B1303&amp;$C1303,'Smelter Look-up'!$J:$J,0)))</f>
        <v>570</v>
      </c>
      <c r="X1303" s="227">
        <f t="shared" si="183"/>
        <v>0</v>
      </c>
      <c r="AB1303" s="228" t="str">
        <f t="shared" si="184"/>
        <v>TinYunnan Tin Company, Ltd.</v>
      </c>
    </row>
    <row r="1304" spans="1:28" s="227" customFormat="1" ht="27">
      <c r="A1304" s="301" t="s">
        <v>782</v>
      </c>
      <c r="B1304" s="293" t="s">
        <v>1120</v>
      </c>
      <c r="C1304" s="294" t="s">
        <v>2517</v>
      </c>
      <c r="D1304" s="295" t="s">
        <v>2325</v>
      </c>
      <c r="E1304" s="293" t="s">
        <v>1090</v>
      </c>
      <c r="F1304" s="293" t="s">
        <v>782</v>
      </c>
      <c r="G1304" s="293" t="s">
        <v>13217</v>
      </c>
      <c r="H1304" s="296" t="s">
        <v>15855</v>
      </c>
      <c r="I1304" s="297" t="s">
        <v>2429</v>
      </c>
      <c r="J1304" s="297" t="s">
        <v>13605</v>
      </c>
      <c r="K1304" s="298" t="s">
        <v>15855</v>
      </c>
      <c r="L1304" s="298" t="s">
        <v>15855</v>
      </c>
      <c r="M1304" s="298" t="s">
        <v>15855</v>
      </c>
      <c r="N1304" s="298" t="s">
        <v>15855</v>
      </c>
      <c r="O1304" s="298" t="s">
        <v>15855</v>
      </c>
      <c r="P1304" s="299" t="s">
        <v>15857</v>
      </c>
      <c r="Q1304" s="300" t="s">
        <v>15855</v>
      </c>
      <c r="R1304" s="182" t="str">
        <f ca="1">IF(ISERROR($V1304),"",OFFSET('Smelter Look-up'!$C$4,$V1304-4,0)&amp;"")</f>
        <v>Tin Smelting Branch of Yunnan Tin Co., Ltd.</v>
      </c>
      <c r="S1304" s="181" t="str">
        <f t="shared" ca="1" si="182"/>
        <v>CN</v>
      </c>
      <c r="T1304" s="181" t="str">
        <f ca="1">IF(B1304="","",IF(ISERROR(MATCH($J1304,SorP!$B$1:$B$6226,0)),"",INDIRECT("'SorP'!$A$"&amp;MATCH($S1304&amp;$J1304,SorP!C:C,0))))</f>
        <v>CN-YN</v>
      </c>
      <c r="U1304" s="201"/>
      <c r="V1304" s="226">
        <f>IF(C1304="",NA(),IF(OR(C1304="Smelter not listed",C1304="Smelter not yet identified"),MATCH($B1304&amp;$D1304,'Smelter Look-up'!$J:$J,0),MATCH($B1304&amp;$C1304,'Smelter Look-up'!$J:$J,0)))</f>
        <v>572</v>
      </c>
      <c r="X1304" s="227">
        <f t="shared" si="183"/>
        <v>0</v>
      </c>
      <c r="AB1304" s="228" t="str">
        <f t="shared" si="184"/>
        <v>TinYunnan Xi YE</v>
      </c>
    </row>
    <row r="1305" spans="1:28" s="227" customFormat="1" ht="54">
      <c r="A1305" s="301" t="s">
        <v>782</v>
      </c>
      <c r="B1305" s="293" t="s">
        <v>1120</v>
      </c>
      <c r="C1305" s="294" t="s">
        <v>42</v>
      </c>
      <c r="D1305" s="295" t="s">
        <v>2325</v>
      </c>
      <c r="E1305" s="293" t="s">
        <v>1090</v>
      </c>
      <c r="F1305" s="293" t="s">
        <v>782</v>
      </c>
      <c r="G1305" s="293" t="s">
        <v>15865</v>
      </c>
      <c r="H1305" s="296" t="s">
        <v>15855</v>
      </c>
      <c r="I1305" s="297" t="s">
        <v>2429</v>
      </c>
      <c r="J1305" s="297" t="s">
        <v>16594</v>
      </c>
      <c r="K1305" s="298" t="s">
        <v>15855</v>
      </c>
      <c r="L1305" s="298" t="s">
        <v>15855</v>
      </c>
      <c r="M1305" s="298" t="s">
        <v>15855</v>
      </c>
      <c r="N1305" s="298" t="s">
        <v>15855</v>
      </c>
      <c r="O1305" s="298" t="s">
        <v>15855</v>
      </c>
      <c r="P1305" s="299" t="s">
        <v>15857</v>
      </c>
      <c r="Q1305" s="300" t="s">
        <v>15855</v>
      </c>
      <c r="R1305" s="182" t="str">
        <f ca="1">IF(ISERROR($V1305),"",OFFSET('Smelter Look-up'!$C$4,$V1305-4,0)&amp;"")</f>
        <v>Tin Smelting Branch of Yunnan Tin Co., Ltd.</v>
      </c>
      <c r="S1305" s="181" t="str">
        <f t="shared" ca="1" si="182"/>
        <v>CN</v>
      </c>
      <c r="T1305" s="181" t="str">
        <f ca="1">IF(B1305="","",IF(ISERROR(MATCH($J1305,SorP!$B$1:$B$6226,0)),"",INDIRECT("'SorP'!$A$"&amp;MATCH($S1305&amp;$J1305,SorP!C:C,0))))</f>
        <v/>
      </c>
      <c r="U1305" s="201"/>
      <c r="V1305" s="226">
        <f>IF(C1305="",NA(),IF(OR(C1305="Smelter not listed",C1305="Smelter not yet identified"),MATCH($B1305&amp;$D1305,'Smelter Look-up'!$J:$J,0),MATCH($B1305&amp;$C1305,'Smelter Look-up'!$J:$J,0)))</f>
        <v>574</v>
      </c>
      <c r="X1305" s="227">
        <f t="shared" si="183"/>
        <v>0</v>
      </c>
      <c r="AB1305" s="228" t="str">
        <f t="shared" si="184"/>
        <v>TinYuntinic Resources</v>
      </c>
    </row>
    <row r="1306" spans="1:28" s="227" customFormat="1" ht="54">
      <c r="A1306" s="301" t="s">
        <v>782</v>
      </c>
      <c r="B1306" s="293" t="s">
        <v>1120</v>
      </c>
      <c r="C1306" s="294" t="s">
        <v>42</v>
      </c>
      <c r="D1306" s="295" t="s">
        <v>2325</v>
      </c>
      <c r="E1306" s="293" t="s">
        <v>1090</v>
      </c>
      <c r="F1306" s="293" t="s">
        <v>782</v>
      </c>
      <c r="G1306" s="293" t="s">
        <v>15865</v>
      </c>
      <c r="H1306" s="296" t="s">
        <v>15855</v>
      </c>
      <c r="I1306" s="297" t="s">
        <v>2429</v>
      </c>
      <c r="J1306" s="297" t="s">
        <v>16594</v>
      </c>
      <c r="K1306" s="298" t="s">
        <v>16940</v>
      </c>
      <c r="L1306" s="298" t="s">
        <v>16941</v>
      </c>
      <c r="M1306" s="298" t="s">
        <v>2334</v>
      </c>
      <c r="N1306" s="298" t="s">
        <v>12438</v>
      </c>
      <c r="O1306" s="298" t="s">
        <v>12438</v>
      </c>
      <c r="P1306" s="299" t="s">
        <v>15857</v>
      </c>
      <c r="Q1306" s="300" t="s">
        <v>15855</v>
      </c>
      <c r="R1306" s="182" t="str">
        <f ca="1">IF(ISERROR($V1306),"",OFFSET('Smelter Look-up'!$C$4,$V1306-4,0)&amp;"")</f>
        <v>Tin Smelting Branch of Yunnan Tin Co., Ltd.</v>
      </c>
      <c r="S1306" s="181" t="str">
        <f t="shared" ca="1" si="182"/>
        <v>CN</v>
      </c>
      <c r="T1306" s="181" t="str">
        <f ca="1">IF(B1306="","",IF(ISERROR(MATCH($J1306,SorP!$B$1:$B$6226,0)),"",INDIRECT("'SorP'!$A$"&amp;MATCH($S1306&amp;$J1306,SorP!C:C,0))))</f>
        <v/>
      </c>
      <c r="U1306" s="201"/>
      <c r="V1306" s="226">
        <f>IF(C1306="",NA(),IF(OR(C1306="Smelter not listed",C1306="Smelter not yet identified"),MATCH($B1306&amp;$D1306,'Smelter Look-up'!$J:$J,0),MATCH($B1306&amp;$C1306,'Smelter Look-up'!$J:$J,0)))</f>
        <v>574</v>
      </c>
      <c r="X1306" s="227">
        <f t="shared" si="183"/>
        <v>0</v>
      </c>
      <c r="AB1306" s="228" t="str">
        <f t="shared" si="184"/>
        <v>TinYuntinic Resources</v>
      </c>
    </row>
    <row r="1307" spans="1:28" s="227" customFormat="1" ht="54">
      <c r="A1307" s="301" t="s">
        <v>782</v>
      </c>
      <c r="B1307" s="293" t="s">
        <v>1120</v>
      </c>
      <c r="C1307" s="294" t="s">
        <v>42</v>
      </c>
      <c r="D1307" s="295" t="s">
        <v>2325</v>
      </c>
      <c r="E1307" s="293" t="s">
        <v>1090</v>
      </c>
      <c r="F1307" s="293" t="s">
        <v>782</v>
      </c>
      <c r="G1307" s="293" t="s">
        <v>13217</v>
      </c>
      <c r="H1307" s="296" t="s">
        <v>15855</v>
      </c>
      <c r="I1307" s="297" t="s">
        <v>2429</v>
      </c>
      <c r="J1307" s="297" t="s">
        <v>13605</v>
      </c>
      <c r="K1307" s="298" t="s">
        <v>15855</v>
      </c>
      <c r="L1307" s="298" t="s">
        <v>15855</v>
      </c>
      <c r="M1307" s="298" t="s">
        <v>15855</v>
      </c>
      <c r="N1307" s="298" t="s">
        <v>15855</v>
      </c>
      <c r="O1307" s="298" t="s">
        <v>15855</v>
      </c>
      <c r="P1307" s="299" t="s">
        <v>15857</v>
      </c>
      <c r="Q1307" s="300" t="s">
        <v>15855</v>
      </c>
      <c r="R1307" s="182" t="str">
        <f ca="1">IF(ISERROR($V1307),"",OFFSET('Smelter Look-up'!$C$4,$V1307-4,0)&amp;"")</f>
        <v>Tin Smelting Branch of Yunnan Tin Co., Ltd.</v>
      </c>
      <c r="S1307" s="181" t="str">
        <f t="shared" ca="1" si="182"/>
        <v>CN</v>
      </c>
      <c r="T1307" s="181" t="str">
        <f ca="1">IF(B1307="","",IF(ISERROR(MATCH($J1307,SorP!$B$1:$B$6226,0)),"",INDIRECT("'SorP'!$A$"&amp;MATCH($S1307&amp;$J1307,SorP!C:C,0))))</f>
        <v>CN-YN</v>
      </c>
      <c r="U1307" s="201"/>
      <c r="V1307" s="226">
        <f>IF(C1307="",NA(),IF(OR(C1307="Smelter not listed",C1307="Smelter not yet identified"),MATCH($B1307&amp;$D1307,'Smelter Look-up'!$J:$J,0),MATCH($B1307&amp;$C1307,'Smelter Look-up'!$J:$J,0)))</f>
        <v>574</v>
      </c>
      <c r="X1307" s="227">
        <f t="shared" si="183"/>
        <v>0</v>
      </c>
      <c r="AB1307" s="228" t="str">
        <f t="shared" si="184"/>
        <v>TinYuntinic Resources</v>
      </c>
    </row>
    <row r="1308" spans="1:28" s="227" customFormat="1" ht="54">
      <c r="A1308" s="301" t="s">
        <v>782</v>
      </c>
      <c r="B1308" s="293" t="s">
        <v>1120</v>
      </c>
      <c r="C1308" s="294" t="s">
        <v>42</v>
      </c>
      <c r="D1308" s="295" t="s">
        <v>2325</v>
      </c>
      <c r="E1308" s="293" t="s">
        <v>1090</v>
      </c>
      <c r="F1308" s="293" t="s">
        <v>782</v>
      </c>
      <c r="G1308" s="293" t="s">
        <v>13217</v>
      </c>
      <c r="H1308" s="296" t="s">
        <v>15855</v>
      </c>
      <c r="I1308" s="297" t="s">
        <v>2429</v>
      </c>
      <c r="J1308" s="297" t="s">
        <v>13605</v>
      </c>
      <c r="K1308" s="298" t="s">
        <v>15855</v>
      </c>
      <c r="L1308" s="298" t="s">
        <v>15855</v>
      </c>
      <c r="M1308" s="298" t="s">
        <v>15855</v>
      </c>
      <c r="N1308" s="298" t="s">
        <v>15855</v>
      </c>
      <c r="O1308" s="298" t="s">
        <v>15855</v>
      </c>
      <c r="P1308" s="299" t="s">
        <v>15875</v>
      </c>
      <c r="Q1308" s="300" t="s">
        <v>15855</v>
      </c>
      <c r="R1308" s="182" t="str">
        <f ca="1">IF(ISERROR($V1308),"",OFFSET('Smelter Look-up'!$C$4,$V1308-4,0)&amp;"")</f>
        <v>Tin Smelting Branch of Yunnan Tin Co., Ltd.</v>
      </c>
      <c r="S1308" s="181" t="str">
        <f t="shared" ref="S1308:S1338" ca="1" si="185">IF(B1308="","",IF(ISERROR(MATCH($E1308,CL,0)),"Unknown",INDIRECT("'C'!$A$"&amp;MATCH($E1308,CL,0)+1)))</f>
        <v>CN</v>
      </c>
      <c r="T1308" s="181" t="str">
        <f ca="1">IF(B1308="","",IF(ISERROR(MATCH($J1308,SorP!$B$1:$B$6226,0)),"",INDIRECT("'SorP'!$A$"&amp;MATCH($S1308&amp;$J1308,SorP!C:C,0))))</f>
        <v>CN-YN</v>
      </c>
      <c r="U1308" s="201"/>
      <c r="V1308" s="226">
        <f>IF(C1308="",NA(),IF(OR(C1308="Smelter not listed",C1308="Smelter not yet identified"),MATCH($B1308&amp;$D1308,'Smelter Look-up'!$J:$J,0),MATCH($B1308&amp;$C1308,'Smelter Look-up'!$J:$J,0)))</f>
        <v>574</v>
      </c>
      <c r="X1308" s="227">
        <f t="shared" ref="X1308:X1338" si="186">IF(AND(C1308="Smelter not listed",OR(LEN(D1308)=0,LEN(E1308)=0)),1,0)</f>
        <v>0</v>
      </c>
      <c r="AB1308" s="228" t="str">
        <f t="shared" ref="AB1308:AB1338" si="187">B1308&amp;C1308</f>
        <v>TinYuntinic Resources</v>
      </c>
    </row>
    <row r="1309" spans="1:28" s="227" customFormat="1" ht="54">
      <c r="A1309" s="301" t="s">
        <v>782</v>
      </c>
      <c r="B1309" s="293" t="s">
        <v>1120</v>
      </c>
      <c r="C1309" s="294" t="s">
        <v>42</v>
      </c>
      <c r="D1309" s="295" t="s">
        <v>2325</v>
      </c>
      <c r="E1309" s="293" t="s">
        <v>1090</v>
      </c>
      <c r="F1309" s="293" t="s">
        <v>782</v>
      </c>
      <c r="G1309" s="293" t="s">
        <v>13217</v>
      </c>
      <c r="H1309" s="296" t="s">
        <v>15855</v>
      </c>
      <c r="I1309" s="297" t="s">
        <v>2429</v>
      </c>
      <c r="J1309" s="297" t="s">
        <v>13605</v>
      </c>
      <c r="K1309" s="298" t="s">
        <v>15855</v>
      </c>
      <c r="L1309" s="298" t="s">
        <v>15855</v>
      </c>
      <c r="M1309" s="298" t="s">
        <v>2334</v>
      </c>
      <c r="N1309" s="298" t="s">
        <v>12438</v>
      </c>
      <c r="O1309" s="298" t="s">
        <v>15855</v>
      </c>
      <c r="P1309" s="299" t="s">
        <v>15857</v>
      </c>
      <c r="Q1309" s="300" t="s">
        <v>15855</v>
      </c>
      <c r="R1309" s="182" t="str">
        <f ca="1">IF(ISERROR($V1309),"",OFFSET('Smelter Look-up'!$C$4,$V1309-4,0)&amp;"")</f>
        <v>Tin Smelting Branch of Yunnan Tin Co., Ltd.</v>
      </c>
      <c r="S1309" s="181" t="str">
        <f t="shared" ca="1" si="185"/>
        <v>CN</v>
      </c>
      <c r="T1309" s="181" t="str">
        <f ca="1">IF(B1309="","",IF(ISERROR(MATCH($J1309,SorP!$B$1:$B$6226,0)),"",INDIRECT("'SorP'!$A$"&amp;MATCH($S1309&amp;$J1309,SorP!C:C,0))))</f>
        <v>CN-YN</v>
      </c>
      <c r="U1309" s="201"/>
      <c r="V1309" s="226">
        <f>IF(C1309="",NA(),IF(OR(C1309="Smelter not listed",C1309="Smelter not yet identified"),MATCH($B1309&amp;$D1309,'Smelter Look-up'!$J:$J,0),MATCH($B1309&amp;$C1309,'Smelter Look-up'!$J:$J,0)))</f>
        <v>574</v>
      </c>
      <c r="X1309" s="227">
        <f t="shared" si="186"/>
        <v>0</v>
      </c>
      <c r="AB1309" s="228" t="str">
        <f t="shared" si="187"/>
        <v>TinYuntinic Resources</v>
      </c>
    </row>
    <row r="1310" spans="1:28" s="227" customFormat="1" ht="94.5">
      <c r="A1310" s="301" t="s">
        <v>13785</v>
      </c>
      <c r="B1310" s="293" t="s">
        <v>1120</v>
      </c>
      <c r="C1310" s="294" t="s">
        <v>13784</v>
      </c>
      <c r="D1310" s="295" t="s">
        <v>13784</v>
      </c>
      <c r="E1310" s="293" t="s">
        <v>1090</v>
      </c>
      <c r="F1310" s="293" t="s">
        <v>13785</v>
      </c>
      <c r="G1310" s="293" t="s">
        <v>13217</v>
      </c>
      <c r="H1310" s="296" t="s">
        <v>15855</v>
      </c>
      <c r="I1310" s="297" t="s">
        <v>2429</v>
      </c>
      <c r="J1310" s="297" t="s">
        <v>13605</v>
      </c>
      <c r="K1310" s="298" t="s">
        <v>15855</v>
      </c>
      <c r="L1310" s="298" t="s">
        <v>15855</v>
      </c>
      <c r="M1310" s="298" t="s">
        <v>15855</v>
      </c>
      <c r="N1310" s="298" t="s">
        <v>15855</v>
      </c>
      <c r="O1310" s="298" t="s">
        <v>15855</v>
      </c>
      <c r="P1310" s="299" t="s">
        <v>15857</v>
      </c>
      <c r="Q1310" s="300" t="s">
        <v>15855</v>
      </c>
      <c r="R1310" s="182" t="str">
        <f ca="1">IF(ISERROR($V1310),"",OFFSET('Smelter Look-up'!$C$4,$V1310-4,0)&amp;"")</f>
        <v>Yunnan Yunfan Non-ferrous Metals Co., Ltd.</v>
      </c>
      <c r="S1310" s="181" t="str">
        <f t="shared" ca="1" si="185"/>
        <v>CN</v>
      </c>
      <c r="T1310" s="181" t="str">
        <f ca="1">IF(B1310="","",IF(ISERROR(MATCH($J1310,SorP!$B$1:$B$6226,0)),"",INDIRECT("'SorP'!$A$"&amp;MATCH($S1310&amp;$J1310,SorP!C:C,0))))</f>
        <v>CN-YN</v>
      </c>
      <c r="U1310" s="201"/>
      <c r="V1310" s="226">
        <f>IF(C1310="",NA(),IF(OR(C1310="Smelter not listed",C1310="Smelter not yet identified"),MATCH($B1310&amp;$D1310,'Smelter Look-up'!$J:$J,0),MATCH($B1310&amp;$C1310,'Smelter Look-up'!$J:$J,0)))</f>
        <v>573</v>
      </c>
      <c r="X1310" s="227">
        <f t="shared" si="186"/>
        <v>0</v>
      </c>
      <c r="AB1310" s="228" t="str">
        <f t="shared" si="187"/>
        <v>TinYunnan Yunfan Non-ferrous Metals Co., Ltd.</v>
      </c>
    </row>
    <row r="1311" spans="1:28" s="227" customFormat="1" ht="94.5">
      <c r="A1311" s="301" t="s">
        <v>13785</v>
      </c>
      <c r="B1311" s="293" t="s">
        <v>1120</v>
      </c>
      <c r="C1311" s="294" t="s">
        <v>13784</v>
      </c>
      <c r="D1311" s="295" t="s">
        <v>13784</v>
      </c>
      <c r="E1311" s="293" t="s">
        <v>1090</v>
      </c>
      <c r="F1311" s="293" t="s">
        <v>13785</v>
      </c>
      <c r="G1311" s="293" t="s">
        <v>13217</v>
      </c>
      <c r="H1311" s="296" t="s">
        <v>15855</v>
      </c>
      <c r="I1311" s="297" t="s">
        <v>2429</v>
      </c>
      <c r="J1311" s="297" t="s">
        <v>13605</v>
      </c>
      <c r="K1311" s="298" t="s">
        <v>15855</v>
      </c>
      <c r="L1311" s="298" t="s">
        <v>15855</v>
      </c>
      <c r="M1311" s="298" t="s">
        <v>15855</v>
      </c>
      <c r="N1311" s="298" t="s">
        <v>15855</v>
      </c>
      <c r="O1311" s="298" t="s">
        <v>15858</v>
      </c>
      <c r="P1311" s="299" t="s">
        <v>15857</v>
      </c>
      <c r="Q1311" s="300" t="s">
        <v>15855</v>
      </c>
      <c r="R1311" s="182" t="str">
        <f ca="1">IF(ISERROR($V1311),"",OFFSET('Smelter Look-up'!$C$4,$V1311-4,0)&amp;"")</f>
        <v>Yunnan Yunfan Non-ferrous Metals Co., Ltd.</v>
      </c>
      <c r="S1311" s="181" t="str">
        <f t="shared" ca="1" si="185"/>
        <v>CN</v>
      </c>
      <c r="T1311" s="181" t="str">
        <f ca="1">IF(B1311="","",IF(ISERROR(MATCH($J1311,SorP!$B$1:$B$6226,0)),"",INDIRECT("'SorP'!$A$"&amp;MATCH($S1311&amp;$J1311,SorP!C:C,0))))</f>
        <v>CN-YN</v>
      </c>
      <c r="U1311" s="201"/>
      <c r="V1311" s="226">
        <f>IF(C1311="",NA(),IF(OR(C1311="Smelter not listed",C1311="Smelter not yet identified"),MATCH($B1311&amp;$D1311,'Smelter Look-up'!$J:$J,0),MATCH($B1311&amp;$C1311,'Smelter Look-up'!$J:$J,0)))</f>
        <v>573</v>
      </c>
      <c r="X1311" s="227">
        <f t="shared" si="186"/>
        <v>0</v>
      </c>
      <c r="AB1311" s="228" t="str">
        <f t="shared" si="187"/>
        <v>TinYunnan Yunfan Non-ferrous Metals Co., Ltd.</v>
      </c>
    </row>
    <row r="1312" spans="1:28" s="227" customFormat="1" ht="67.5">
      <c r="A1312" s="301" t="s">
        <v>15855</v>
      </c>
      <c r="B1312" s="293" t="s">
        <v>1120</v>
      </c>
      <c r="C1312" s="294" t="s">
        <v>15856</v>
      </c>
      <c r="D1312" s="295" t="s">
        <v>16942</v>
      </c>
      <c r="E1312" s="293" t="s">
        <v>15855</v>
      </c>
      <c r="F1312" s="293" t="s">
        <v>15855</v>
      </c>
      <c r="G1312" s="293" t="s">
        <v>15855</v>
      </c>
      <c r="H1312" s="296" t="s">
        <v>15855</v>
      </c>
      <c r="I1312" s="297" t="s">
        <v>15855</v>
      </c>
      <c r="J1312" s="297" t="s">
        <v>15855</v>
      </c>
      <c r="K1312" s="298" t="s">
        <v>15855</v>
      </c>
      <c r="L1312" s="298" t="s">
        <v>15855</v>
      </c>
      <c r="M1312" s="298" t="s">
        <v>15855</v>
      </c>
      <c r="N1312" s="298" t="s">
        <v>15855</v>
      </c>
      <c r="O1312" s="298" t="s">
        <v>15855</v>
      </c>
      <c r="P1312" s="299" t="s">
        <v>15857</v>
      </c>
      <c r="Q1312" s="300" t="s">
        <v>15855</v>
      </c>
      <c r="R1312" s="182" t="str">
        <f ca="1">IF(ISERROR($V1312),"",OFFSET('Smelter Look-up'!$C$4,$V1312-4,0)&amp;"")</f>
        <v/>
      </c>
      <c r="S1312" s="181" t="str">
        <f t="shared" ca="1" si="185"/>
        <v>Unknown</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si="186"/>
        <v>0</v>
      </c>
      <c r="AB1312" s="228" t="str">
        <f t="shared" si="187"/>
        <v>TinSmelter Not Yet Identified</v>
      </c>
    </row>
    <row r="1313" spans="1:28" s="227" customFormat="1" ht="67.5">
      <c r="A1313" s="301" t="s">
        <v>15855</v>
      </c>
      <c r="B1313" s="293" t="s">
        <v>1120</v>
      </c>
      <c r="C1313" s="294" t="s">
        <v>1312</v>
      </c>
      <c r="D1313" s="295" t="s">
        <v>16942</v>
      </c>
      <c r="E1313" s="293" t="s">
        <v>1090</v>
      </c>
      <c r="F1313" s="293" t="s">
        <v>15855</v>
      </c>
      <c r="G1313" s="293" t="s">
        <v>15855</v>
      </c>
      <c r="H1313" s="296" t="s">
        <v>15855</v>
      </c>
      <c r="I1313" s="297" t="s">
        <v>15855</v>
      </c>
      <c r="J1313" s="297" t="s">
        <v>15855</v>
      </c>
      <c r="K1313" s="298" t="s">
        <v>15855</v>
      </c>
      <c r="L1313" s="298" t="s">
        <v>15855</v>
      </c>
      <c r="M1313" s="298" t="s">
        <v>15855</v>
      </c>
      <c r="N1313" s="298" t="s">
        <v>15855</v>
      </c>
      <c r="O1313" s="298" t="s">
        <v>15855</v>
      </c>
      <c r="P1313" s="299" t="s">
        <v>15857</v>
      </c>
      <c r="Q1313" s="300" t="s">
        <v>15855</v>
      </c>
      <c r="R1313" s="182" t="str">
        <f ca="1">IF(ISERROR($V1313),"",OFFSET('Smelter Look-up'!$C$4,$V1313-4,0)&amp;"")</f>
        <v/>
      </c>
      <c r="S1313" s="181" t="str">
        <f t="shared" ca="1" si="185"/>
        <v>CN</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si="186"/>
        <v>0</v>
      </c>
      <c r="AB1313" s="228" t="str">
        <f t="shared" si="187"/>
        <v>TinSmelter not yet identified</v>
      </c>
    </row>
    <row r="1314" spans="1:28" s="227" customFormat="1" ht="40.5">
      <c r="A1314" s="301" t="s">
        <v>15855</v>
      </c>
      <c r="B1314" s="293" t="s">
        <v>1120</v>
      </c>
      <c r="C1314" s="294" t="s">
        <v>932</v>
      </c>
      <c r="D1314" s="295" t="s">
        <v>16943</v>
      </c>
      <c r="E1314" s="293" t="s">
        <v>16944</v>
      </c>
      <c r="F1314" s="293" t="s">
        <v>15855</v>
      </c>
      <c r="G1314" s="293" t="s">
        <v>15855</v>
      </c>
      <c r="H1314" s="296" t="s">
        <v>15855</v>
      </c>
      <c r="I1314" s="297" t="s">
        <v>15855</v>
      </c>
      <c r="J1314" s="297" t="s">
        <v>15855</v>
      </c>
      <c r="K1314" s="298" t="s">
        <v>15855</v>
      </c>
      <c r="L1314" s="298" t="s">
        <v>15855</v>
      </c>
      <c r="M1314" s="298" t="s">
        <v>15855</v>
      </c>
      <c r="N1314" s="298" t="s">
        <v>15855</v>
      </c>
      <c r="O1314" s="298" t="s">
        <v>15855</v>
      </c>
      <c r="P1314" s="299" t="s">
        <v>15857</v>
      </c>
      <c r="Q1314" s="300" t="s">
        <v>15855</v>
      </c>
      <c r="R1314" s="182" t="str">
        <f ca="1">IF(ISERROR($V1314),"",OFFSET('Smelter Look-up'!$C$4,$V1314-4,0)&amp;"")</f>
        <v/>
      </c>
      <c r="S1314" s="181" t="str">
        <f t="shared" ca="1" si="185"/>
        <v>Unknown</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si="186"/>
        <v>0</v>
      </c>
      <c r="AB1314" s="228" t="str">
        <f t="shared" si="187"/>
        <v>TinSmelter Not Listed</v>
      </c>
    </row>
    <row r="1315" spans="1:28" s="227" customFormat="1" ht="40.5">
      <c r="A1315" s="301" t="s">
        <v>15855</v>
      </c>
      <c r="B1315" s="293" t="s">
        <v>1120</v>
      </c>
      <c r="C1315" s="294" t="s">
        <v>932</v>
      </c>
      <c r="D1315" s="295" t="s">
        <v>16945</v>
      </c>
      <c r="E1315" s="293" t="s">
        <v>16946</v>
      </c>
      <c r="F1315" s="293" t="s">
        <v>15855</v>
      </c>
      <c r="G1315" s="293" t="s">
        <v>15855</v>
      </c>
      <c r="H1315" s="296" t="s">
        <v>15855</v>
      </c>
      <c r="I1315" s="297" t="s">
        <v>15855</v>
      </c>
      <c r="J1315" s="297" t="s">
        <v>15855</v>
      </c>
      <c r="K1315" s="298" t="s">
        <v>15855</v>
      </c>
      <c r="L1315" s="298" t="s">
        <v>15855</v>
      </c>
      <c r="M1315" s="298" t="s">
        <v>15855</v>
      </c>
      <c r="N1315" s="298" t="s">
        <v>15855</v>
      </c>
      <c r="O1315" s="298" t="s">
        <v>15855</v>
      </c>
      <c r="P1315" s="299" t="s">
        <v>15857</v>
      </c>
      <c r="Q1315" s="300" t="s">
        <v>15855</v>
      </c>
      <c r="R1315" s="182" t="str">
        <f ca="1">IF(ISERROR($V1315),"",OFFSET('Smelter Look-up'!$C$4,$V1315-4,0)&amp;"")</f>
        <v/>
      </c>
      <c r="S1315" s="181" t="str">
        <f t="shared" ca="1" si="185"/>
        <v>Unknown</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si="186"/>
        <v>0</v>
      </c>
      <c r="AB1315" s="228" t="str">
        <f t="shared" si="187"/>
        <v>TinSmelter Not Listed</v>
      </c>
    </row>
    <row r="1316" spans="1:28" s="227" customFormat="1" ht="40.5">
      <c r="A1316" s="301" t="s">
        <v>15855</v>
      </c>
      <c r="B1316" s="293" t="s">
        <v>1120</v>
      </c>
      <c r="C1316" s="294" t="s">
        <v>932</v>
      </c>
      <c r="D1316" s="295" t="s">
        <v>16947</v>
      </c>
      <c r="E1316" s="293" t="s">
        <v>16946</v>
      </c>
      <c r="F1316" s="293" t="s">
        <v>15855</v>
      </c>
      <c r="G1316" s="293" t="s">
        <v>15855</v>
      </c>
      <c r="H1316" s="296" t="s">
        <v>15855</v>
      </c>
      <c r="I1316" s="297" t="s">
        <v>15855</v>
      </c>
      <c r="J1316" s="297" t="s">
        <v>15855</v>
      </c>
      <c r="K1316" s="298" t="s">
        <v>15855</v>
      </c>
      <c r="L1316" s="298" t="s">
        <v>15855</v>
      </c>
      <c r="M1316" s="298" t="s">
        <v>15855</v>
      </c>
      <c r="N1316" s="298" t="s">
        <v>15855</v>
      </c>
      <c r="O1316" s="298" t="s">
        <v>15855</v>
      </c>
      <c r="P1316" s="299" t="s">
        <v>15857</v>
      </c>
      <c r="Q1316" s="300" t="s">
        <v>15855</v>
      </c>
      <c r="R1316" s="182" t="str">
        <f ca="1">IF(ISERROR($V1316),"",OFFSET('Smelter Look-up'!$C$4,$V1316-4,0)&amp;"")</f>
        <v/>
      </c>
      <c r="S1316" s="181" t="str">
        <f t="shared" ca="1" si="185"/>
        <v>Unknown</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si="186"/>
        <v>0</v>
      </c>
      <c r="AB1316" s="228" t="str">
        <f t="shared" si="187"/>
        <v>TinSmelter Not Listed</v>
      </c>
    </row>
    <row r="1317" spans="1:28" s="227" customFormat="1" ht="40.5">
      <c r="A1317" s="301" t="s">
        <v>15855</v>
      </c>
      <c r="B1317" s="293" t="s">
        <v>1120</v>
      </c>
      <c r="C1317" s="294" t="s">
        <v>932</v>
      </c>
      <c r="D1317" s="295" t="s">
        <v>16948</v>
      </c>
      <c r="E1317" s="293" t="s">
        <v>16949</v>
      </c>
      <c r="F1317" s="293" t="s">
        <v>15855</v>
      </c>
      <c r="G1317" s="293" t="s">
        <v>15855</v>
      </c>
      <c r="H1317" s="296" t="s">
        <v>15855</v>
      </c>
      <c r="I1317" s="297" t="s">
        <v>15855</v>
      </c>
      <c r="J1317" s="297" t="s">
        <v>15855</v>
      </c>
      <c r="K1317" s="298" t="s">
        <v>15855</v>
      </c>
      <c r="L1317" s="298" t="s">
        <v>15855</v>
      </c>
      <c r="M1317" s="298" t="s">
        <v>15855</v>
      </c>
      <c r="N1317" s="298" t="s">
        <v>15855</v>
      </c>
      <c r="O1317" s="298" t="s">
        <v>15855</v>
      </c>
      <c r="P1317" s="299" t="s">
        <v>15857</v>
      </c>
      <c r="Q1317" s="300" t="s">
        <v>15855</v>
      </c>
      <c r="R1317" s="182" t="str">
        <f ca="1">IF(ISERROR($V1317),"",OFFSET('Smelter Look-up'!$C$4,$V1317-4,0)&amp;"")</f>
        <v/>
      </c>
      <c r="S1317" s="181" t="str">
        <f t="shared" ca="1" si="185"/>
        <v>Unknown</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si="186"/>
        <v>0</v>
      </c>
      <c r="AB1317" s="228" t="str">
        <f t="shared" si="187"/>
        <v>TinSmelter Not Listed</v>
      </c>
    </row>
    <row r="1318" spans="1:28" s="227" customFormat="1" ht="40.5">
      <c r="A1318" s="301" t="s">
        <v>783</v>
      </c>
      <c r="B1318" s="293" t="s">
        <v>1122</v>
      </c>
      <c r="C1318" s="294" t="s">
        <v>13786</v>
      </c>
      <c r="D1318" s="295" t="s">
        <v>13786</v>
      </c>
      <c r="E1318" s="293" t="s">
        <v>1098</v>
      </c>
      <c r="F1318" s="293" t="s">
        <v>783</v>
      </c>
      <c r="G1318" s="293" t="s">
        <v>13217</v>
      </c>
      <c r="H1318" s="296" t="s">
        <v>15855</v>
      </c>
      <c r="I1318" s="297" t="s">
        <v>2116</v>
      </c>
      <c r="J1318" s="297" t="s">
        <v>2117</v>
      </c>
      <c r="K1318" s="298" t="s">
        <v>15855</v>
      </c>
      <c r="L1318" s="298" t="s">
        <v>15855</v>
      </c>
      <c r="M1318" s="298" t="s">
        <v>15855</v>
      </c>
      <c r="N1318" s="298" t="s">
        <v>15855</v>
      </c>
      <c r="O1318" s="298" t="s">
        <v>15855</v>
      </c>
      <c r="P1318" s="299" t="s">
        <v>15857</v>
      </c>
      <c r="Q1318" s="300" t="s">
        <v>15855</v>
      </c>
      <c r="R1318" s="182" t="str">
        <f ca="1">IF(ISERROR($V1318),"",OFFSET('Smelter Look-up'!$C$4,$V1318-4,0)&amp;"")</f>
        <v>A.L.M.T. Corp.</v>
      </c>
      <c r="S1318" s="181" t="str">
        <f t="shared" ca="1" si="185"/>
        <v>JP</v>
      </c>
      <c r="T1318" s="181" t="str">
        <f ca="1">IF(B1318="","",IF(ISERROR(MATCH($J1318,SorP!$B$1:$B$6226,0)),"",INDIRECT("'SorP'!$A$"&amp;MATCH($S1318&amp;$J1318,SorP!C:C,0))))</f>
        <v>JP-16</v>
      </c>
      <c r="U1318" s="201"/>
      <c r="V1318" s="226">
        <f>IF(C1318="",NA(),IF(OR(C1318="Smelter not listed",C1318="Smelter not yet identified"),MATCH($B1318&amp;$D1318,'Smelter Look-up'!$J:$J,0),MATCH($B1318&amp;$C1318,'Smelter Look-up'!$J:$J,0)))</f>
        <v>579</v>
      </c>
      <c r="X1318" s="227">
        <f t="shared" si="186"/>
        <v>0</v>
      </c>
      <c r="AB1318" s="228" t="str">
        <f t="shared" si="187"/>
        <v>TungstenA.L.M.T. Corp.</v>
      </c>
    </row>
    <row r="1319" spans="1:28" s="227" customFormat="1" ht="40.5">
      <c r="A1319" s="301" t="s">
        <v>783</v>
      </c>
      <c r="B1319" s="293" t="s">
        <v>1122</v>
      </c>
      <c r="C1319" s="294" t="s">
        <v>13786</v>
      </c>
      <c r="D1319" s="295" t="s">
        <v>13786</v>
      </c>
      <c r="E1319" s="293" t="s">
        <v>1098</v>
      </c>
      <c r="F1319" s="293" t="s">
        <v>783</v>
      </c>
      <c r="G1319" s="293" t="s">
        <v>13217</v>
      </c>
      <c r="H1319" s="296" t="s">
        <v>15855</v>
      </c>
      <c r="I1319" s="297" t="s">
        <v>2116</v>
      </c>
      <c r="J1319" s="297" t="s">
        <v>2117</v>
      </c>
      <c r="K1319" s="298" t="s">
        <v>15855</v>
      </c>
      <c r="L1319" s="298" t="s">
        <v>15855</v>
      </c>
      <c r="M1319" s="298" t="s">
        <v>15855</v>
      </c>
      <c r="N1319" s="298" t="s">
        <v>15855</v>
      </c>
      <c r="O1319" s="298" t="s">
        <v>15989</v>
      </c>
      <c r="P1319" s="299" t="s">
        <v>15857</v>
      </c>
      <c r="Q1319" s="300" t="s">
        <v>16950</v>
      </c>
      <c r="R1319" s="182" t="str">
        <f ca="1">IF(ISERROR($V1319),"",OFFSET('Smelter Look-up'!$C$4,$V1319-4,0)&amp;"")</f>
        <v>A.L.M.T. Corp.</v>
      </c>
      <c r="S1319" s="181" t="str">
        <f t="shared" ca="1" si="185"/>
        <v>JP</v>
      </c>
      <c r="T1319" s="181" t="str">
        <f ca="1">IF(B1319="","",IF(ISERROR(MATCH($J1319,SorP!$B$1:$B$6226,0)),"",INDIRECT("'SorP'!$A$"&amp;MATCH($S1319&amp;$J1319,SorP!C:C,0))))</f>
        <v>JP-16</v>
      </c>
      <c r="U1319" s="201"/>
      <c r="V1319" s="226">
        <f>IF(C1319="",NA(),IF(OR(C1319="Smelter not listed",C1319="Smelter not yet identified"),MATCH($B1319&amp;$D1319,'Smelter Look-up'!$J:$J,0),MATCH($B1319&amp;$C1319,'Smelter Look-up'!$J:$J,0)))</f>
        <v>579</v>
      </c>
      <c r="X1319" s="227">
        <f t="shared" si="186"/>
        <v>0</v>
      </c>
      <c r="AB1319" s="228" t="str">
        <f t="shared" si="187"/>
        <v>TungstenA.L.M.T. Corp.</v>
      </c>
    </row>
    <row r="1320" spans="1:28" s="227" customFormat="1" ht="40.5">
      <c r="A1320" s="301" t="s">
        <v>783</v>
      </c>
      <c r="B1320" s="293" t="s">
        <v>1122</v>
      </c>
      <c r="C1320" s="294" t="s">
        <v>13786</v>
      </c>
      <c r="D1320" s="295" t="s">
        <v>13786</v>
      </c>
      <c r="E1320" s="293" t="s">
        <v>1098</v>
      </c>
      <c r="F1320" s="293" t="s">
        <v>783</v>
      </c>
      <c r="G1320" s="293" t="s">
        <v>13217</v>
      </c>
      <c r="H1320" s="296" t="s">
        <v>15855</v>
      </c>
      <c r="I1320" s="297" t="s">
        <v>2116</v>
      </c>
      <c r="J1320" s="297" t="s">
        <v>2117</v>
      </c>
      <c r="K1320" s="298" t="s">
        <v>15855</v>
      </c>
      <c r="L1320" s="298" t="s">
        <v>15855</v>
      </c>
      <c r="M1320" s="298" t="s">
        <v>15855</v>
      </c>
      <c r="N1320" s="298" t="s">
        <v>15855</v>
      </c>
      <c r="O1320" s="298" t="s">
        <v>15925</v>
      </c>
      <c r="P1320" s="299" t="s">
        <v>15857</v>
      </c>
      <c r="Q1320" s="300" t="s">
        <v>15855</v>
      </c>
      <c r="R1320" s="182" t="str">
        <f ca="1">IF(ISERROR($V1320),"",OFFSET('Smelter Look-up'!$C$4,$V1320-4,0)&amp;"")</f>
        <v>A.L.M.T. Corp.</v>
      </c>
      <c r="S1320" s="181" t="str">
        <f t="shared" ca="1" si="185"/>
        <v>JP</v>
      </c>
      <c r="T1320" s="181" t="str">
        <f ca="1">IF(B1320="","",IF(ISERROR(MATCH($J1320,SorP!$B$1:$B$6226,0)),"",INDIRECT("'SorP'!$A$"&amp;MATCH($S1320&amp;$J1320,SorP!C:C,0))))</f>
        <v>JP-16</v>
      </c>
      <c r="U1320" s="201"/>
      <c r="V1320" s="226">
        <f>IF(C1320="",NA(),IF(OR(C1320="Smelter not listed",C1320="Smelter not yet identified"),MATCH($B1320&amp;$D1320,'Smelter Look-up'!$J:$J,0),MATCH($B1320&amp;$C1320,'Smelter Look-up'!$J:$J,0)))</f>
        <v>579</v>
      </c>
      <c r="X1320" s="227">
        <f t="shared" si="186"/>
        <v>0</v>
      </c>
      <c r="AB1320" s="228" t="str">
        <f t="shared" si="187"/>
        <v>TungstenA.L.M.T. Corp.</v>
      </c>
    </row>
    <row r="1321" spans="1:28" s="227" customFormat="1" ht="40.5">
      <c r="A1321" s="301" t="s">
        <v>783</v>
      </c>
      <c r="B1321" s="293" t="s">
        <v>1122</v>
      </c>
      <c r="C1321" s="294" t="s">
        <v>13786</v>
      </c>
      <c r="D1321" s="295" t="s">
        <v>13786</v>
      </c>
      <c r="E1321" s="293" t="s">
        <v>1098</v>
      </c>
      <c r="F1321" s="293" t="s">
        <v>783</v>
      </c>
      <c r="G1321" s="293" t="s">
        <v>13217</v>
      </c>
      <c r="H1321" s="296" t="s">
        <v>15855</v>
      </c>
      <c r="I1321" s="297" t="s">
        <v>2116</v>
      </c>
      <c r="J1321" s="297" t="s">
        <v>2117</v>
      </c>
      <c r="K1321" s="298" t="s">
        <v>16951</v>
      </c>
      <c r="L1321" s="298" t="s">
        <v>16952</v>
      </c>
      <c r="M1321" s="298" t="s">
        <v>15869</v>
      </c>
      <c r="N1321" s="298" t="s">
        <v>15862</v>
      </c>
      <c r="O1321" s="298" t="s">
        <v>16953</v>
      </c>
      <c r="P1321" s="299" t="s">
        <v>15857</v>
      </c>
      <c r="Q1321" s="300" t="s">
        <v>15855</v>
      </c>
      <c r="R1321" s="182" t="str">
        <f ca="1">IF(ISERROR($V1321),"",OFFSET('Smelter Look-up'!$C$4,$V1321-4,0)&amp;"")</f>
        <v>A.L.M.T. Corp.</v>
      </c>
      <c r="S1321" s="181" t="str">
        <f t="shared" ca="1" si="185"/>
        <v>JP</v>
      </c>
      <c r="T1321" s="181" t="str">
        <f ca="1">IF(B1321="","",IF(ISERROR(MATCH($J1321,SorP!$B$1:$B$6226,0)),"",INDIRECT("'SorP'!$A$"&amp;MATCH($S1321&amp;$J1321,SorP!C:C,0))))</f>
        <v>JP-16</v>
      </c>
      <c r="U1321" s="201"/>
      <c r="V1321" s="226">
        <f>IF(C1321="",NA(),IF(OR(C1321="Smelter not listed",C1321="Smelter not yet identified"),MATCH($B1321&amp;$D1321,'Smelter Look-up'!$J:$J,0),MATCH($B1321&amp;$C1321,'Smelter Look-up'!$J:$J,0)))</f>
        <v>579</v>
      </c>
      <c r="X1321" s="227">
        <f t="shared" si="186"/>
        <v>0</v>
      </c>
      <c r="AB1321" s="228" t="str">
        <f t="shared" si="187"/>
        <v>TungstenA.L.M.T. Corp.</v>
      </c>
    </row>
    <row r="1322" spans="1:28" s="227" customFormat="1" ht="40.5">
      <c r="A1322" s="301" t="s">
        <v>783</v>
      </c>
      <c r="B1322" s="293" t="s">
        <v>1122</v>
      </c>
      <c r="C1322" s="294" t="s">
        <v>13786</v>
      </c>
      <c r="D1322" s="295" t="s">
        <v>13786</v>
      </c>
      <c r="E1322" s="293" t="s">
        <v>1098</v>
      </c>
      <c r="F1322" s="293" t="s">
        <v>783</v>
      </c>
      <c r="G1322" s="293" t="s">
        <v>13217</v>
      </c>
      <c r="H1322" s="302" t="s">
        <v>15880</v>
      </c>
      <c r="I1322" s="297" t="s">
        <v>2116</v>
      </c>
      <c r="J1322" s="297" t="s">
        <v>2117</v>
      </c>
      <c r="K1322" s="298" t="s">
        <v>15855</v>
      </c>
      <c r="L1322" s="298" t="s">
        <v>15855</v>
      </c>
      <c r="M1322" s="298" t="s">
        <v>15855</v>
      </c>
      <c r="N1322" s="298" t="s">
        <v>15855</v>
      </c>
      <c r="O1322" s="298" t="s">
        <v>15855</v>
      </c>
      <c r="P1322" s="299" t="s">
        <v>15857</v>
      </c>
      <c r="Q1322" s="300" t="s">
        <v>15855</v>
      </c>
      <c r="R1322" s="182" t="str">
        <f ca="1">IF(ISERROR($V1322),"",OFFSET('Smelter Look-up'!$C$4,$V1322-4,0)&amp;"")</f>
        <v>A.L.M.T. Corp.</v>
      </c>
      <c r="S1322" s="181" t="str">
        <f t="shared" ca="1" si="185"/>
        <v>JP</v>
      </c>
      <c r="T1322" s="181" t="str">
        <f ca="1">IF(B1322="","",IF(ISERROR(MATCH($J1322,SorP!$B$1:$B$6226,0)),"",INDIRECT("'SorP'!$A$"&amp;MATCH($S1322&amp;$J1322,SorP!C:C,0))))</f>
        <v>JP-16</v>
      </c>
      <c r="U1322" s="201"/>
      <c r="V1322" s="226">
        <f>IF(C1322="",NA(),IF(OR(C1322="Smelter not listed",C1322="Smelter not yet identified"),MATCH($B1322&amp;$D1322,'Smelter Look-up'!$J:$J,0),MATCH($B1322&amp;$C1322,'Smelter Look-up'!$J:$J,0)))</f>
        <v>579</v>
      </c>
      <c r="X1322" s="227">
        <f t="shared" si="186"/>
        <v>0</v>
      </c>
      <c r="AB1322" s="228" t="str">
        <f t="shared" si="187"/>
        <v>TungstenA.L.M.T. Corp.</v>
      </c>
    </row>
    <row r="1323" spans="1:28" s="227" customFormat="1" ht="54">
      <c r="A1323" s="301" t="s">
        <v>783</v>
      </c>
      <c r="B1323" s="293" t="s">
        <v>1122</v>
      </c>
      <c r="C1323" s="294" t="s">
        <v>1805</v>
      </c>
      <c r="D1323" s="295" t="s">
        <v>13786</v>
      </c>
      <c r="E1323" s="293" t="s">
        <v>1098</v>
      </c>
      <c r="F1323" s="293" t="s">
        <v>783</v>
      </c>
      <c r="G1323" s="293" t="s">
        <v>13217</v>
      </c>
      <c r="H1323" s="296" t="s">
        <v>15855</v>
      </c>
      <c r="I1323" s="297" t="s">
        <v>2116</v>
      </c>
      <c r="J1323" s="297" t="s">
        <v>2117</v>
      </c>
      <c r="K1323" s="298" t="s">
        <v>15855</v>
      </c>
      <c r="L1323" s="298" t="s">
        <v>15855</v>
      </c>
      <c r="M1323" s="298" t="s">
        <v>15855</v>
      </c>
      <c r="N1323" s="298" t="s">
        <v>15855</v>
      </c>
      <c r="O1323" s="298" t="s">
        <v>15855</v>
      </c>
      <c r="P1323" s="299" t="s">
        <v>15857</v>
      </c>
      <c r="Q1323" s="300" t="s">
        <v>15855</v>
      </c>
      <c r="R1323" s="182" t="str">
        <f ca="1">IF(ISERROR($V1323),"",OFFSET('Smelter Look-up'!$C$4,$V1323-4,0)&amp;"")</f>
        <v>A.L.M.T. Corp.</v>
      </c>
      <c r="S1323" s="181" t="str">
        <f t="shared" ca="1" si="185"/>
        <v>JP</v>
      </c>
      <c r="T1323" s="181" t="str">
        <f ca="1">IF(B1323="","",IF(ISERROR(MATCH($J1323,SorP!$B$1:$B$6226,0)),"",INDIRECT("'SorP'!$A$"&amp;MATCH($S1323&amp;$J1323,SorP!C:C,0))))</f>
        <v>JP-16</v>
      </c>
      <c r="U1323" s="201"/>
      <c r="V1323" s="226">
        <f>IF(C1323="",NA(),IF(OR(C1323="Smelter not listed",C1323="Smelter not yet identified"),MATCH($B1323&amp;$D1323,'Smelter Look-up'!$J:$J,0),MATCH($B1323&amp;$C1323,'Smelter Look-up'!$J:$J,0)))</f>
        <v>580</v>
      </c>
      <c r="X1323" s="227">
        <f t="shared" si="186"/>
        <v>0</v>
      </c>
      <c r="AB1323" s="228" t="str">
        <f t="shared" si="187"/>
        <v>TungstenA.L.M.T. TUNGSTEN Corp.</v>
      </c>
    </row>
    <row r="1324" spans="1:28" s="227" customFormat="1" ht="54">
      <c r="A1324" s="301" t="s">
        <v>2250</v>
      </c>
      <c r="B1324" s="293" t="s">
        <v>1122</v>
      </c>
      <c r="C1324" s="294" t="s">
        <v>2249</v>
      </c>
      <c r="D1324" s="295" t="s">
        <v>2249</v>
      </c>
      <c r="E1324" s="293" t="s">
        <v>1086</v>
      </c>
      <c r="F1324" s="293" t="s">
        <v>2250</v>
      </c>
      <c r="G1324" s="293" t="s">
        <v>13217</v>
      </c>
      <c r="H1324" s="296" t="s">
        <v>15855</v>
      </c>
      <c r="I1324" s="297" t="s">
        <v>2251</v>
      </c>
      <c r="J1324" s="297" t="s">
        <v>1666</v>
      </c>
      <c r="K1324" s="298" t="s">
        <v>15855</v>
      </c>
      <c r="L1324" s="298" t="s">
        <v>15855</v>
      </c>
      <c r="M1324" s="298" t="s">
        <v>15855</v>
      </c>
      <c r="N1324" s="298" t="s">
        <v>15855</v>
      </c>
      <c r="O1324" s="298" t="s">
        <v>15855</v>
      </c>
      <c r="P1324" s="299" t="s">
        <v>15857</v>
      </c>
      <c r="Q1324" s="300" t="s">
        <v>15855</v>
      </c>
      <c r="R1324" s="182" t="str">
        <f ca="1">IF(ISERROR($V1324),"",OFFSET('Smelter Look-up'!$C$4,$V1324-4,0)&amp;"")</f>
        <v>ACL Metais Eireli</v>
      </c>
      <c r="S1324" s="181" t="str">
        <f t="shared" ca="1" si="185"/>
        <v>BR</v>
      </c>
      <c r="T1324" s="181" t="str">
        <f ca="1">IF(B1324="","",IF(ISERROR(MATCH($J1324,SorP!$B$1:$B$6226,0)),"",INDIRECT("'SorP'!$A$"&amp;MATCH($S1324&amp;$J1324,SorP!C:C,0))))</f>
        <v>BR-SP</v>
      </c>
      <c r="U1324" s="201"/>
      <c r="V1324" s="226">
        <f>IF(C1324="",NA(),IF(OR(C1324="Smelter not listed",C1324="Smelter not yet identified"),MATCH($B1324&amp;$D1324,'Smelter Look-up'!$J:$J,0),MATCH($B1324&amp;$C1324,'Smelter Look-up'!$J:$J,0)))</f>
        <v>581</v>
      </c>
      <c r="X1324" s="227">
        <f t="shared" si="186"/>
        <v>0</v>
      </c>
      <c r="AB1324" s="228" t="str">
        <f t="shared" si="187"/>
        <v>TungstenACL Metais Eireli</v>
      </c>
    </row>
    <row r="1325" spans="1:28" s="227" customFormat="1" ht="54">
      <c r="A1325" s="301" t="s">
        <v>2250</v>
      </c>
      <c r="B1325" s="293" t="s">
        <v>1122</v>
      </c>
      <c r="C1325" s="294" t="s">
        <v>2249</v>
      </c>
      <c r="D1325" s="295" t="s">
        <v>2249</v>
      </c>
      <c r="E1325" s="293" t="s">
        <v>1086</v>
      </c>
      <c r="F1325" s="293" t="s">
        <v>2250</v>
      </c>
      <c r="G1325" s="293" t="s">
        <v>13217</v>
      </c>
      <c r="H1325" s="296" t="s">
        <v>15855</v>
      </c>
      <c r="I1325" s="297" t="s">
        <v>2251</v>
      </c>
      <c r="J1325" s="297" t="s">
        <v>1666</v>
      </c>
      <c r="K1325" s="298" t="s">
        <v>15855</v>
      </c>
      <c r="L1325" s="298" t="s">
        <v>15855</v>
      </c>
      <c r="M1325" s="298" t="s">
        <v>15855</v>
      </c>
      <c r="N1325" s="298" t="s">
        <v>15855</v>
      </c>
      <c r="O1325" s="298" t="s">
        <v>16954</v>
      </c>
      <c r="P1325" s="299" t="s">
        <v>15857</v>
      </c>
      <c r="Q1325" s="300" t="s">
        <v>15855</v>
      </c>
      <c r="R1325" s="182" t="str">
        <f ca="1">IF(ISERROR($V1325),"",OFFSET('Smelter Look-up'!$C$4,$V1325-4,0)&amp;"")</f>
        <v>ACL Metais Eireli</v>
      </c>
      <c r="S1325" s="181" t="str">
        <f t="shared" ca="1" si="185"/>
        <v>BR</v>
      </c>
      <c r="T1325" s="181" t="str">
        <f ca="1">IF(B1325="","",IF(ISERROR(MATCH($J1325,SorP!$B$1:$B$6226,0)),"",INDIRECT("'SorP'!$A$"&amp;MATCH($S1325&amp;$J1325,SorP!C:C,0))))</f>
        <v>BR-SP</v>
      </c>
      <c r="U1325" s="201"/>
      <c r="V1325" s="226">
        <f>IF(C1325="",NA(),IF(OR(C1325="Smelter not listed",C1325="Smelter not yet identified"),MATCH($B1325&amp;$D1325,'Smelter Look-up'!$J:$J,0),MATCH($B1325&amp;$C1325,'Smelter Look-up'!$J:$J,0)))</f>
        <v>581</v>
      </c>
      <c r="X1325" s="227">
        <f t="shared" si="186"/>
        <v>0</v>
      </c>
      <c r="AB1325" s="228" t="str">
        <f t="shared" si="187"/>
        <v>TungstenACL Metais Eireli</v>
      </c>
    </row>
    <row r="1326" spans="1:28" s="227" customFormat="1" ht="54">
      <c r="A1326" s="301" t="s">
        <v>2250</v>
      </c>
      <c r="B1326" s="293" t="s">
        <v>1122</v>
      </c>
      <c r="C1326" s="294" t="s">
        <v>2249</v>
      </c>
      <c r="D1326" s="295" t="s">
        <v>2249</v>
      </c>
      <c r="E1326" s="293" t="s">
        <v>1086</v>
      </c>
      <c r="F1326" s="293" t="s">
        <v>2250</v>
      </c>
      <c r="G1326" s="293" t="s">
        <v>13217</v>
      </c>
      <c r="H1326" s="296" t="s">
        <v>15855</v>
      </c>
      <c r="I1326" s="297" t="s">
        <v>2251</v>
      </c>
      <c r="J1326" s="297" t="s">
        <v>1666</v>
      </c>
      <c r="K1326" s="298" t="s">
        <v>16955</v>
      </c>
      <c r="L1326" s="298" t="s">
        <v>16956</v>
      </c>
      <c r="M1326" s="298" t="s">
        <v>15869</v>
      </c>
      <c r="N1326" s="298" t="s">
        <v>15862</v>
      </c>
      <c r="O1326" s="298" t="s">
        <v>16456</v>
      </c>
      <c r="P1326" s="299" t="s">
        <v>15857</v>
      </c>
      <c r="Q1326" s="300" t="s">
        <v>15855</v>
      </c>
      <c r="R1326" s="182" t="str">
        <f ca="1">IF(ISERROR($V1326),"",OFFSET('Smelter Look-up'!$C$4,$V1326-4,0)&amp;"")</f>
        <v>ACL Metais Eireli</v>
      </c>
      <c r="S1326" s="181" t="str">
        <f t="shared" ca="1" si="185"/>
        <v>BR</v>
      </c>
      <c r="T1326" s="181" t="str">
        <f ca="1">IF(B1326="","",IF(ISERROR(MATCH($J1326,SorP!$B$1:$B$6226,0)),"",INDIRECT("'SorP'!$A$"&amp;MATCH($S1326&amp;$J1326,SorP!C:C,0))))</f>
        <v>BR-SP</v>
      </c>
      <c r="U1326" s="201"/>
      <c r="V1326" s="226">
        <f>IF(C1326="",NA(),IF(OR(C1326="Smelter not listed",C1326="Smelter not yet identified"),MATCH($B1326&amp;$D1326,'Smelter Look-up'!$J:$J,0),MATCH($B1326&amp;$C1326,'Smelter Look-up'!$J:$J,0)))</f>
        <v>581</v>
      </c>
      <c r="X1326" s="227">
        <f t="shared" si="186"/>
        <v>0</v>
      </c>
      <c r="AB1326" s="228" t="str">
        <f t="shared" si="187"/>
        <v>TungstenACL Metais Eireli</v>
      </c>
    </row>
    <row r="1327" spans="1:28" s="227" customFormat="1" ht="135">
      <c r="A1327" s="301" t="s">
        <v>13842</v>
      </c>
      <c r="B1327" s="293" t="s">
        <v>1122</v>
      </c>
      <c r="C1327" s="294" t="s">
        <v>13828</v>
      </c>
      <c r="D1327" s="295" t="s">
        <v>13828</v>
      </c>
      <c r="E1327" s="293" t="s">
        <v>1086</v>
      </c>
      <c r="F1327" s="293" t="s">
        <v>13842</v>
      </c>
      <c r="G1327" s="293" t="s">
        <v>13217</v>
      </c>
      <c r="H1327" s="296" t="s">
        <v>15855</v>
      </c>
      <c r="I1327" s="297" t="s">
        <v>2493</v>
      </c>
      <c r="J1327" s="297" t="s">
        <v>1666</v>
      </c>
      <c r="K1327" s="298" t="s">
        <v>15855</v>
      </c>
      <c r="L1327" s="298" t="s">
        <v>15855</v>
      </c>
      <c r="M1327" s="298" t="s">
        <v>15855</v>
      </c>
      <c r="N1327" s="298" t="s">
        <v>15855</v>
      </c>
      <c r="O1327" s="298" t="s">
        <v>15858</v>
      </c>
      <c r="P1327" s="299" t="s">
        <v>15857</v>
      </c>
      <c r="Q1327" s="300" t="s">
        <v>15855</v>
      </c>
      <c r="R1327" s="182" t="str">
        <f ca="1">IF(ISERROR($V1327),"",OFFSET('Smelter Look-up'!$C$4,$V1327-4,0)&amp;"")</f>
        <v>Albasteel Industria e Comercio de Ligas Para Fundicao Ltd.</v>
      </c>
      <c r="S1327" s="181" t="str">
        <f t="shared" ca="1" si="185"/>
        <v>BR</v>
      </c>
      <c r="T1327" s="181" t="str">
        <f ca="1">IF(B1327="","",IF(ISERROR(MATCH($J1327,SorP!$B$1:$B$6226,0)),"",INDIRECT("'SorP'!$A$"&amp;MATCH($S1327&amp;$J1327,SorP!C:C,0))))</f>
        <v>BR-SP</v>
      </c>
      <c r="U1327" s="201"/>
      <c r="V1327" s="226">
        <f>IF(C1327="",NA(),IF(OR(C1327="Smelter not listed",C1327="Smelter not yet identified"),MATCH($B1327&amp;$D1327,'Smelter Look-up'!$J:$J,0),MATCH($B1327&amp;$C1327,'Smelter Look-up'!$J:$J,0)))</f>
        <v>582</v>
      </c>
      <c r="X1327" s="227">
        <f t="shared" si="186"/>
        <v>0</v>
      </c>
      <c r="AB1327" s="228" t="str">
        <f t="shared" si="187"/>
        <v>TungstenAlbasteel Industria e Comercio de Ligas Para Fundicao Ltd.</v>
      </c>
    </row>
    <row r="1328" spans="1:28" s="227" customFormat="1" ht="40.5">
      <c r="A1328" s="301" t="s">
        <v>15090</v>
      </c>
      <c r="B1328" s="293" t="s">
        <v>1122</v>
      </c>
      <c r="C1328" s="294" t="s">
        <v>15089</v>
      </c>
      <c r="D1328" s="295" t="s">
        <v>15089</v>
      </c>
      <c r="E1328" s="293" t="s">
        <v>873</v>
      </c>
      <c r="F1328" s="293" t="s">
        <v>15090</v>
      </c>
      <c r="G1328" s="293" t="s">
        <v>13217</v>
      </c>
      <c r="H1328" s="296" t="s">
        <v>15855</v>
      </c>
      <c r="I1328" s="297" t="s">
        <v>15117</v>
      </c>
      <c r="J1328" s="297" t="s">
        <v>9870</v>
      </c>
      <c r="K1328" s="298" t="s">
        <v>15855</v>
      </c>
      <c r="L1328" s="298" t="s">
        <v>15855</v>
      </c>
      <c r="M1328" s="298" t="s">
        <v>15855</v>
      </c>
      <c r="N1328" s="298" t="s">
        <v>15855</v>
      </c>
      <c r="O1328" s="298" t="s">
        <v>15858</v>
      </c>
      <c r="P1328" s="299" t="s">
        <v>15857</v>
      </c>
      <c r="Q1328" s="300" t="s">
        <v>15855</v>
      </c>
      <c r="R1328" s="182" t="str">
        <f ca="1">IF(ISERROR($V1328),"",OFFSET('Smelter Look-up'!$C$4,$V1328-4,0)&amp;"")</f>
        <v>Artek LLC</v>
      </c>
      <c r="S1328" s="181" t="str">
        <f t="shared" ca="1" si="185"/>
        <v>RU</v>
      </c>
      <c r="T1328" s="181" t="str">
        <f ca="1">IF(B1328="","",IF(ISERROR(MATCH($J1328,SorP!$B$1:$B$6226,0)),"",INDIRECT("'SorP'!$A$"&amp;MATCH($S1328&amp;$J1328,SorP!C:C,0))))</f>
        <v>RU-MOW</v>
      </c>
      <c r="U1328" s="201"/>
      <c r="V1328" s="226">
        <f>IF(C1328="",NA(),IF(OR(C1328="Smelter not listed",C1328="Smelter not yet identified"),MATCH($B1328&amp;$D1328,'Smelter Look-up'!$J:$J,0),MATCH($B1328&amp;$C1328,'Smelter Look-up'!$J:$J,0)))</f>
        <v>586</v>
      </c>
      <c r="X1328" s="227">
        <f t="shared" si="186"/>
        <v>0</v>
      </c>
      <c r="AB1328" s="228" t="str">
        <f t="shared" si="187"/>
        <v>TungstenArtek LLC</v>
      </c>
    </row>
    <row r="1329" spans="1:28" s="227" customFormat="1" ht="81">
      <c r="A1329" s="301" t="s">
        <v>13843</v>
      </c>
      <c r="B1329" s="293" t="s">
        <v>1122</v>
      </c>
      <c r="C1329" s="294" t="s">
        <v>13829</v>
      </c>
      <c r="D1329" s="295" t="s">
        <v>13829</v>
      </c>
      <c r="E1329" s="293" t="s">
        <v>882</v>
      </c>
      <c r="F1329" s="293" t="s">
        <v>13843</v>
      </c>
      <c r="G1329" s="293" t="s">
        <v>13217</v>
      </c>
      <c r="H1329" s="296" t="s">
        <v>15855</v>
      </c>
      <c r="I1329" s="297" t="s">
        <v>13852</v>
      </c>
      <c r="J1329" s="297" t="s">
        <v>1822</v>
      </c>
      <c r="K1329" s="298" t="s">
        <v>15855</v>
      </c>
      <c r="L1329" s="298" t="s">
        <v>15855</v>
      </c>
      <c r="M1329" s="298" t="s">
        <v>15855</v>
      </c>
      <c r="N1329" s="298" t="s">
        <v>15855</v>
      </c>
      <c r="O1329" s="298" t="s">
        <v>15855</v>
      </c>
      <c r="P1329" s="299" t="s">
        <v>15857</v>
      </c>
      <c r="Q1329" s="300" t="s">
        <v>15855</v>
      </c>
      <c r="R1329" s="182" t="str">
        <f ca="1">IF(ISERROR($V1329),"",OFFSET('Smelter Look-up'!$C$4,$V1329-4,0)&amp;"")</f>
        <v>Asia Tungsten Products Vietnam Ltd.</v>
      </c>
      <c r="S1329" s="181" t="str">
        <f t="shared" ca="1" si="185"/>
        <v>VN</v>
      </c>
      <c r="T1329" s="181" t="str">
        <f ca="1">IF(B1329="","",IF(ISERROR(MATCH($J1329,SorP!$B$1:$B$6226,0)),"",INDIRECT("'SorP'!$A$"&amp;MATCH($S1329&amp;$J1329,SorP!C:C,0))))</f>
        <v>VN-HP</v>
      </c>
      <c r="U1329" s="201"/>
      <c r="V1329" s="226">
        <f>IF(C1329="",NA(),IF(OR(C1329="Smelter not listed",C1329="Smelter not yet identified"),MATCH($B1329&amp;$D1329,'Smelter Look-up'!$J:$J,0),MATCH($B1329&amp;$C1329,'Smelter Look-up'!$J:$J,0)))</f>
        <v>587</v>
      </c>
      <c r="X1329" s="227">
        <f t="shared" si="186"/>
        <v>0</v>
      </c>
      <c r="AB1329" s="228" t="str">
        <f t="shared" si="187"/>
        <v>TungstenAsia Tungsten Products Vietnam Ltd.</v>
      </c>
    </row>
    <row r="1330" spans="1:28" s="227" customFormat="1" ht="81">
      <c r="A1330" s="301" t="s">
        <v>13843</v>
      </c>
      <c r="B1330" s="293" t="s">
        <v>1122</v>
      </c>
      <c r="C1330" s="294" t="s">
        <v>13829</v>
      </c>
      <c r="D1330" s="295" t="s">
        <v>13829</v>
      </c>
      <c r="E1330" s="293" t="s">
        <v>882</v>
      </c>
      <c r="F1330" s="293" t="s">
        <v>13843</v>
      </c>
      <c r="G1330" s="293" t="s">
        <v>13217</v>
      </c>
      <c r="H1330" s="296" t="s">
        <v>15855</v>
      </c>
      <c r="I1330" s="297" t="s">
        <v>13852</v>
      </c>
      <c r="J1330" s="297" t="s">
        <v>1822</v>
      </c>
      <c r="K1330" s="298" t="s">
        <v>15855</v>
      </c>
      <c r="L1330" s="298" t="s">
        <v>15855</v>
      </c>
      <c r="M1330" s="298" t="s">
        <v>15855</v>
      </c>
      <c r="N1330" s="298" t="s">
        <v>15855</v>
      </c>
      <c r="O1330" s="298" t="s">
        <v>15858</v>
      </c>
      <c r="P1330" s="299" t="s">
        <v>15857</v>
      </c>
      <c r="Q1330" s="300" t="s">
        <v>15855</v>
      </c>
      <c r="R1330" s="182" t="str">
        <f ca="1">IF(ISERROR($V1330),"",OFFSET('Smelter Look-up'!$C$4,$V1330-4,0)&amp;"")</f>
        <v>Asia Tungsten Products Vietnam Ltd.</v>
      </c>
      <c r="S1330" s="181" t="str">
        <f t="shared" ca="1" si="185"/>
        <v>VN</v>
      </c>
      <c r="T1330" s="181" t="str">
        <f ca="1">IF(B1330="","",IF(ISERROR(MATCH($J1330,SorP!$B$1:$B$6226,0)),"",INDIRECT("'SorP'!$A$"&amp;MATCH($S1330&amp;$J1330,SorP!C:C,0))))</f>
        <v>VN-HP</v>
      </c>
      <c r="U1330" s="201"/>
      <c r="V1330" s="226">
        <f>IF(C1330="",NA(),IF(OR(C1330="Smelter not listed",C1330="Smelter not yet identified"),MATCH($B1330&amp;$D1330,'Smelter Look-up'!$J:$J,0),MATCH($B1330&amp;$C1330,'Smelter Look-up'!$J:$J,0)))</f>
        <v>587</v>
      </c>
      <c r="X1330" s="227">
        <f t="shared" si="186"/>
        <v>0</v>
      </c>
      <c r="AB1330" s="228" t="str">
        <f t="shared" si="187"/>
        <v>TungstenAsia Tungsten Products Vietnam Ltd.</v>
      </c>
    </row>
    <row r="1331" spans="1:28" s="227" customFormat="1" ht="81">
      <c r="A1331" s="301" t="s">
        <v>13843</v>
      </c>
      <c r="B1331" s="293" t="s">
        <v>1122</v>
      </c>
      <c r="C1331" s="294" t="s">
        <v>13829</v>
      </c>
      <c r="D1331" s="295" t="s">
        <v>13829</v>
      </c>
      <c r="E1331" s="293" t="s">
        <v>882</v>
      </c>
      <c r="F1331" s="293" t="s">
        <v>13843</v>
      </c>
      <c r="G1331" s="293" t="s">
        <v>13217</v>
      </c>
      <c r="H1331" s="296" t="s">
        <v>15855</v>
      </c>
      <c r="I1331" s="297" t="s">
        <v>13852</v>
      </c>
      <c r="J1331" s="297" t="s">
        <v>1822</v>
      </c>
      <c r="K1331" s="298" t="s">
        <v>16957</v>
      </c>
      <c r="L1331" s="298" t="s">
        <v>16958</v>
      </c>
      <c r="M1331" s="298" t="s">
        <v>15869</v>
      </c>
      <c r="N1331" s="298" t="s">
        <v>16959</v>
      </c>
      <c r="O1331" s="298" t="s">
        <v>16960</v>
      </c>
      <c r="P1331" s="299" t="s">
        <v>15857</v>
      </c>
      <c r="Q1331" s="300" t="s">
        <v>15855</v>
      </c>
      <c r="R1331" s="182" t="str">
        <f ca="1">IF(ISERROR($V1331),"",OFFSET('Smelter Look-up'!$C$4,$V1331-4,0)&amp;"")</f>
        <v>Asia Tungsten Products Vietnam Ltd.</v>
      </c>
      <c r="S1331" s="181" t="str">
        <f t="shared" ca="1" si="185"/>
        <v>VN</v>
      </c>
      <c r="T1331" s="181" t="str">
        <f ca="1">IF(B1331="","",IF(ISERROR(MATCH($J1331,SorP!$B$1:$B$6226,0)),"",INDIRECT("'SorP'!$A$"&amp;MATCH($S1331&amp;$J1331,SorP!C:C,0))))</f>
        <v>VN-HP</v>
      </c>
      <c r="U1331" s="201"/>
      <c r="V1331" s="226">
        <f>IF(C1331="",NA(),IF(OR(C1331="Smelter not listed",C1331="Smelter not yet identified"),MATCH($B1331&amp;$D1331,'Smelter Look-up'!$J:$J,0),MATCH($B1331&amp;$C1331,'Smelter Look-up'!$J:$J,0)))</f>
        <v>587</v>
      </c>
      <c r="X1331" s="227">
        <f t="shared" si="186"/>
        <v>0</v>
      </c>
      <c r="AB1331" s="228" t="str">
        <f t="shared" si="187"/>
        <v>TungstenAsia Tungsten Products Vietnam Ltd.</v>
      </c>
    </row>
    <row r="1332" spans="1:28" s="227" customFormat="1" ht="94.5">
      <c r="A1332" s="301" t="s">
        <v>1394</v>
      </c>
      <c r="B1332" s="293" t="s">
        <v>1122</v>
      </c>
      <c r="C1332" s="294" t="s">
        <v>1393</v>
      </c>
      <c r="D1332" s="295" t="s">
        <v>1393</v>
      </c>
      <c r="E1332" s="293" t="s">
        <v>1090</v>
      </c>
      <c r="F1332" s="293" t="s">
        <v>1394</v>
      </c>
      <c r="G1332" s="293" t="s">
        <v>13217</v>
      </c>
      <c r="H1332" s="296" t="s">
        <v>15855</v>
      </c>
      <c r="I1332" s="297" t="s">
        <v>1760</v>
      </c>
      <c r="J1332" s="297" t="s">
        <v>13600</v>
      </c>
      <c r="K1332" s="298" t="s">
        <v>15855</v>
      </c>
      <c r="L1332" s="298" t="s">
        <v>15855</v>
      </c>
      <c r="M1332" s="298" t="s">
        <v>15855</v>
      </c>
      <c r="N1332" s="298" t="s">
        <v>15855</v>
      </c>
      <c r="O1332" s="298" t="s">
        <v>15855</v>
      </c>
      <c r="P1332" s="299" t="s">
        <v>15857</v>
      </c>
      <c r="Q1332" s="300" t="s">
        <v>15855</v>
      </c>
      <c r="R1332" s="182" t="str">
        <f ca="1">IF(ISERROR($V1332),"",OFFSET('Smelter Look-up'!$C$4,$V1332-4,0)&amp;"")</f>
        <v>Hunan Shizhuyuan Nonferrous Metals Co., Ltd. Chenzhou Tungsten Products Branch</v>
      </c>
      <c r="S1332" s="181" t="str">
        <f t="shared" ca="1" si="185"/>
        <v>CN</v>
      </c>
      <c r="T1332" s="181" t="str">
        <f ca="1">IF(B1332="","",IF(ISERROR(MATCH($J1332,SorP!$B$1:$B$6226,0)),"",INDIRECT("'SorP'!$A$"&amp;MATCH($S1332&amp;$J1332,SorP!C:C,0))))</f>
        <v>CN-HN</v>
      </c>
      <c r="U1332" s="201"/>
      <c r="V1332" s="226">
        <f>IF(C1332="",NA(),IF(OR(C1332="Smelter not listed",C1332="Smelter not yet identified"),MATCH($B1332&amp;$D1332,'Smelter Look-up'!$J:$J,0),MATCH($B1332&amp;$C1332,'Smelter Look-up'!$J:$J,0)))</f>
        <v>591</v>
      </c>
      <c r="X1332" s="227">
        <f t="shared" si="186"/>
        <v>0</v>
      </c>
      <c r="AB1332" s="228" t="str">
        <f t="shared" si="187"/>
        <v>TungstenChenzhou Diamond Tungsten Products Co., Ltd.</v>
      </c>
    </row>
    <row r="1333" spans="1:28" s="227" customFormat="1" ht="94.5">
      <c r="A1333" s="301" t="s">
        <v>1394</v>
      </c>
      <c r="B1333" s="293" t="s">
        <v>1122</v>
      </c>
      <c r="C1333" s="294" t="s">
        <v>1393</v>
      </c>
      <c r="D1333" s="295" t="s">
        <v>1393</v>
      </c>
      <c r="E1333" s="293" t="s">
        <v>1090</v>
      </c>
      <c r="F1333" s="293" t="s">
        <v>1394</v>
      </c>
      <c r="G1333" s="293" t="s">
        <v>13217</v>
      </c>
      <c r="H1333" s="296" t="s">
        <v>15855</v>
      </c>
      <c r="I1333" s="297" t="s">
        <v>1760</v>
      </c>
      <c r="J1333" s="297" t="s">
        <v>13600</v>
      </c>
      <c r="K1333" s="298" t="s">
        <v>16961</v>
      </c>
      <c r="L1333" s="298" t="s">
        <v>16962</v>
      </c>
      <c r="M1333" s="298" t="s">
        <v>16963</v>
      </c>
      <c r="N1333" s="298" t="s">
        <v>16964</v>
      </c>
      <c r="O1333" s="298" t="s">
        <v>15994</v>
      </c>
      <c r="P1333" s="299" t="s">
        <v>15857</v>
      </c>
      <c r="Q1333" s="300" t="s">
        <v>15855</v>
      </c>
      <c r="R1333" s="182" t="str">
        <f ca="1">IF(ISERROR($V1333),"",OFFSET('Smelter Look-up'!$C$4,$V1333-4,0)&amp;"")</f>
        <v>Hunan Shizhuyuan Nonferrous Metals Co., Ltd. Chenzhou Tungsten Products Branch</v>
      </c>
      <c r="S1333" s="181" t="str">
        <f t="shared" ca="1" si="185"/>
        <v>CN</v>
      </c>
      <c r="T1333" s="181" t="str">
        <f ca="1">IF(B1333="","",IF(ISERROR(MATCH($J1333,SorP!$B$1:$B$6226,0)),"",INDIRECT("'SorP'!$A$"&amp;MATCH($S1333&amp;$J1333,SorP!C:C,0))))</f>
        <v>CN-HN</v>
      </c>
      <c r="U1333" s="201"/>
      <c r="V1333" s="226">
        <f>IF(C1333="",NA(),IF(OR(C1333="Smelter not listed",C1333="Smelter not yet identified"),MATCH($B1333&amp;$D1333,'Smelter Look-up'!$J:$J,0),MATCH($B1333&amp;$C1333,'Smelter Look-up'!$J:$J,0)))</f>
        <v>591</v>
      </c>
      <c r="X1333" s="227">
        <f t="shared" si="186"/>
        <v>0</v>
      </c>
      <c r="AB1333" s="228" t="str">
        <f t="shared" si="187"/>
        <v>TungstenChenzhou Diamond Tungsten Products Co., Ltd.</v>
      </c>
    </row>
    <row r="1334" spans="1:28" s="227" customFormat="1" ht="94.5">
      <c r="A1334" s="301" t="s">
        <v>1394</v>
      </c>
      <c r="B1334" s="293" t="s">
        <v>1122</v>
      </c>
      <c r="C1334" s="294" t="s">
        <v>1393</v>
      </c>
      <c r="D1334" s="295" t="s">
        <v>1393</v>
      </c>
      <c r="E1334" s="293" t="s">
        <v>1090</v>
      </c>
      <c r="F1334" s="293" t="s">
        <v>1394</v>
      </c>
      <c r="G1334" s="293" t="s">
        <v>13217</v>
      </c>
      <c r="H1334" s="302" t="s">
        <v>15880</v>
      </c>
      <c r="I1334" s="297" t="s">
        <v>1760</v>
      </c>
      <c r="J1334" s="297" t="s">
        <v>13600</v>
      </c>
      <c r="K1334" s="298" t="s">
        <v>15855</v>
      </c>
      <c r="L1334" s="298" t="s">
        <v>15855</v>
      </c>
      <c r="M1334" s="298" t="s">
        <v>15855</v>
      </c>
      <c r="N1334" s="298" t="s">
        <v>15855</v>
      </c>
      <c r="O1334" s="298" t="s">
        <v>15855</v>
      </c>
      <c r="P1334" s="299" t="s">
        <v>15857</v>
      </c>
      <c r="Q1334" s="300" t="s">
        <v>15855</v>
      </c>
      <c r="R1334" s="182" t="str">
        <f ca="1">IF(ISERROR($V1334),"",OFFSET('Smelter Look-up'!$C$4,$V1334-4,0)&amp;"")</f>
        <v>Hunan Shizhuyuan Nonferrous Metals Co., Ltd. Chenzhou Tungsten Products Branch</v>
      </c>
      <c r="S1334" s="181" t="str">
        <f t="shared" ca="1" si="185"/>
        <v>CN</v>
      </c>
      <c r="T1334" s="181" t="str">
        <f ca="1">IF(B1334="","",IF(ISERROR(MATCH($J1334,SorP!$B$1:$B$6226,0)),"",INDIRECT("'SorP'!$A$"&amp;MATCH($S1334&amp;$J1334,SorP!C:C,0))))</f>
        <v>CN-HN</v>
      </c>
      <c r="U1334" s="201"/>
      <c r="V1334" s="226">
        <f>IF(C1334="",NA(),IF(OR(C1334="Smelter not listed",C1334="Smelter not yet identified"),MATCH($B1334&amp;$D1334,'Smelter Look-up'!$J:$J,0),MATCH($B1334&amp;$C1334,'Smelter Look-up'!$J:$J,0)))</f>
        <v>591</v>
      </c>
      <c r="X1334" s="227">
        <f t="shared" si="186"/>
        <v>0</v>
      </c>
      <c r="AB1334" s="228" t="str">
        <f t="shared" si="187"/>
        <v>TungstenChenzhou Diamond Tungsten Products Co., Ltd.</v>
      </c>
    </row>
    <row r="1335" spans="1:28" s="227" customFormat="1" ht="94.5">
      <c r="A1335" s="301" t="s">
        <v>1394</v>
      </c>
      <c r="B1335" s="293" t="s">
        <v>1122</v>
      </c>
      <c r="C1335" s="294" t="s">
        <v>1393</v>
      </c>
      <c r="D1335" s="295" t="s">
        <v>1393</v>
      </c>
      <c r="E1335" s="293" t="s">
        <v>1090</v>
      </c>
      <c r="F1335" s="293" t="s">
        <v>1394</v>
      </c>
      <c r="G1335" s="293" t="s">
        <v>13217</v>
      </c>
      <c r="H1335" s="296" t="s">
        <v>16965</v>
      </c>
      <c r="I1335" s="297" t="s">
        <v>1760</v>
      </c>
      <c r="J1335" s="297" t="s">
        <v>13600</v>
      </c>
      <c r="K1335" s="298" t="s">
        <v>16966</v>
      </c>
      <c r="L1335" s="298" t="s">
        <v>16967</v>
      </c>
      <c r="M1335" s="298" t="s">
        <v>15855</v>
      </c>
      <c r="N1335" s="298" t="s">
        <v>16968</v>
      </c>
      <c r="O1335" s="298" t="s">
        <v>15989</v>
      </c>
      <c r="P1335" s="299" t="s">
        <v>15857</v>
      </c>
      <c r="Q1335" s="300" t="s">
        <v>15855</v>
      </c>
      <c r="R1335" s="182" t="str">
        <f ca="1">IF(ISERROR($V1335),"",OFFSET('Smelter Look-up'!$C$4,$V1335-4,0)&amp;"")</f>
        <v>Hunan Shizhuyuan Nonferrous Metals Co., Ltd. Chenzhou Tungsten Products Branch</v>
      </c>
      <c r="S1335" s="181" t="str">
        <f t="shared" ca="1" si="185"/>
        <v>CN</v>
      </c>
      <c r="T1335" s="181" t="str">
        <f ca="1">IF(B1335="","",IF(ISERROR(MATCH($J1335,SorP!$B$1:$B$6226,0)),"",INDIRECT("'SorP'!$A$"&amp;MATCH($S1335&amp;$J1335,SorP!C:C,0))))</f>
        <v>CN-HN</v>
      </c>
      <c r="U1335" s="201"/>
      <c r="V1335" s="226">
        <f>IF(C1335="",NA(),IF(OR(C1335="Smelter not listed",C1335="Smelter not yet identified"),MATCH($B1335&amp;$D1335,'Smelter Look-up'!$J:$J,0),MATCH($B1335&amp;$C1335,'Smelter Look-up'!$J:$J,0)))</f>
        <v>591</v>
      </c>
      <c r="X1335" s="227">
        <f t="shared" si="186"/>
        <v>0</v>
      </c>
      <c r="AB1335" s="228" t="str">
        <f t="shared" si="187"/>
        <v>TungstenChenzhou Diamond Tungsten Products Co., Ltd.</v>
      </c>
    </row>
    <row r="1336" spans="1:28" s="227" customFormat="1" ht="81">
      <c r="A1336" s="301" t="s">
        <v>13789</v>
      </c>
      <c r="B1336" s="293" t="s">
        <v>1122</v>
      </c>
      <c r="C1336" s="294" t="s">
        <v>15091</v>
      </c>
      <c r="D1336" s="295" t="s">
        <v>13787</v>
      </c>
      <c r="E1336" s="293" t="s">
        <v>1090</v>
      </c>
      <c r="F1336" s="293" t="s">
        <v>13789</v>
      </c>
      <c r="G1336" s="293" t="s">
        <v>13217</v>
      </c>
      <c r="H1336" s="296" t="s">
        <v>15855</v>
      </c>
      <c r="I1336" s="297" t="s">
        <v>1607</v>
      </c>
      <c r="J1336" s="297" t="s">
        <v>13598</v>
      </c>
      <c r="K1336" s="298" t="s">
        <v>15855</v>
      </c>
      <c r="L1336" s="298" t="s">
        <v>15855</v>
      </c>
      <c r="M1336" s="298" t="s">
        <v>15855</v>
      </c>
      <c r="N1336" s="298" t="s">
        <v>15855</v>
      </c>
      <c r="O1336" s="298" t="s">
        <v>15858</v>
      </c>
      <c r="P1336" s="299" t="s">
        <v>15857</v>
      </c>
      <c r="Q1336" s="300" t="s">
        <v>15855</v>
      </c>
      <c r="R1336" s="182" t="str">
        <f ca="1">IF(ISERROR($V1336),"",OFFSET('Smelter Look-up'!$C$4,$V1336-4,0)&amp;"")</f>
        <v>China Molybdenum Tungsten Co., Ltd.</v>
      </c>
      <c r="S1336" s="181" t="str">
        <f t="shared" ca="1" si="185"/>
        <v>CN</v>
      </c>
      <c r="T1336" s="181" t="str">
        <f ca="1">IF(B1336="","",IF(ISERROR(MATCH($J1336,SorP!$B$1:$B$6226,0)),"",INDIRECT("'SorP'!$A$"&amp;MATCH($S1336&amp;$J1336,SorP!C:C,0))))</f>
        <v>CN-HA</v>
      </c>
      <c r="U1336" s="201"/>
      <c r="V1336" s="226">
        <f>IF(C1336="",NA(),IF(OR(C1336="Smelter not listed",C1336="Smelter not yet identified"),MATCH($B1336&amp;$D1336,'Smelter Look-up'!$J:$J,0),MATCH($B1336&amp;$C1336,'Smelter Look-up'!$J:$J,0)))</f>
        <v>593</v>
      </c>
      <c r="X1336" s="227">
        <f t="shared" si="186"/>
        <v>0</v>
      </c>
      <c r="AB1336" s="228" t="str">
        <f t="shared" si="187"/>
        <v>TungstenChina Molybdenum Tungsten Co., Ltd.</v>
      </c>
    </row>
    <row r="1337" spans="1:28" s="227" customFormat="1" ht="81">
      <c r="A1337" s="301" t="s">
        <v>13789</v>
      </c>
      <c r="B1337" s="293" t="s">
        <v>1122</v>
      </c>
      <c r="C1337" s="294" t="s">
        <v>15091</v>
      </c>
      <c r="D1337" s="295" t="s">
        <v>15091</v>
      </c>
      <c r="E1337" s="293" t="s">
        <v>1090</v>
      </c>
      <c r="F1337" s="293" t="s">
        <v>13789</v>
      </c>
      <c r="G1337" s="293" t="s">
        <v>13217</v>
      </c>
      <c r="H1337" s="296" t="s">
        <v>15855</v>
      </c>
      <c r="I1337" s="297" t="s">
        <v>1607</v>
      </c>
      <c r="J1337" s="297" t="s">
        <v>13598</v>
      </c>
      <c r="K1337" s="298" t="s">
        <v>15855</v>
      </c>
      <c r="L1337" s="298" t="s">
        <v>15855</v>
      </c>
      <c r="M1337" s="298" t="s">
        <v>15855</v>
      </c>
      <c r="N1337" s="298" t="s">
        <v>15855</v>
      </c>
      <c r="O1337" s="298" t="s">
        <v>15855</v>
      </c>
      <c r="P1337" s="299" t="s">
        <v>15857</v>
      </c>
      <c r="Q1337" s="300" t="s">
        <v>15855</v>
      </c>
      <c r="R1337" s="182" t="str">
        <f ca="1">IF(ISERROR($V1337),"",OFFSET('Smelter Look-up'!$C$4,$V1337-4,0)&amp;"")</f>
        <v>China Molybdenum Tungsten Co., Ltd.</v>
      </c>
      <c r="S1337" s="181" t="str">
        <f t="shared" ca="1" si="185"/>
        <v>CN</v>
      </c>
      <c r="T1337" s="181" t="str">
        <f ca="1">IF(B1337="","",IF(ISERROR(MATCH($J1337,SorP!$B$1:$B$6226,0)),"",INDIRECT("'SorP'!$A$"&amp;MATCH($S1337&amp;$J1337,SorP!C:C,0))))</f>
        <v>CN-HA</v>
      </c>
      <c r="U1337" s="201"/>
      <c r="V1337" s="226">
        <f>IF(C1337="",NA(),IF(OR(C1337="Smelter not listed",C1337="Smelter not yet identified"),MATCH($B1337&amp;$D1337,'Smelter Look-up'!$J:$J,0),MATCH($B1337&amp;$C1337,'Smelter Look-up'!$J:$J,0)))</f>
        <v>593</v>
      </c>
      <c r="X1337" s="227">
        <f t="shared" si="186"/>
        <v>0</v>
      </c>
      <c r="AB1337" s="228" t="str">
        <f t="shared" si="187"/>
        <v>TungstenChina Molybdenum Tungsten Co., Ltd.</v>
      </c>
    </row>
    <row r="1338" spans="1:28" s="227" customFormat="1" ht="81">
      <c r="A1338" s="301" t="s">
        <v>786</v>
      </c>
      <c r="B1338" s="293" t="s">
        <v>1122</v>
      </c>
      <c r="C1338" s="294" t="s">
        <v>1367</v>
      </c>
      <c r="D1338" s="295" t="s">
        <v>1367</v>
      </c>
      <c r="E1338" s="293" t="s">
        <v>1090</v>
      </c>
      <c r="F1338" s="293" t="s">
        <v>786</v>
      </c>
      <c r="G1338" s="293" t="s">
        <v>13217</v>
      </c>
      <c r="H1338" s="296" t="s">
        <v>15855</v>
      </c>
      <c r="I1338" s="297" t="s">
        <v>1759</v>
      </c>
      <c r="J1338" s="297" t="s">
        <v>13596</v>
      </c>
      <c r="K1338" s="298" t="s">
        <v>15855</v>
      </c>
      <c r="L1338" s="298" t="s">
        <v>15855</v>
      </c>
      <c r="M1338" s="298" t="s">
        <v>15855</v>
      </c>
      <c r="N1338" s="298" t="s">
        <v>15855</v>
      </c>
      <c r="O1338" s="298" t="s">
        <v>15855</v>
      </c>
      <c r="P1338" s="299" t="s">
        <v>15857</v>
      </c>
      <c r="Q1338" s="300" t="s">
        <v>15855</v>
      </c>
      <c r="R1338" s="182" t="str">
        <f ca="1">IF(ISERROR($V1338),"",OFFSET('Smelter Look-up'!$C$4,$V1338-4,0)&amp;"")</f>
        <v>Chongyi Zhangyuan Tungsten Co., Ltd.</v>
      </c>
      <c r="S1338" s="181" t="str">
        <f t="shared" ca="1" si="185"/>
        <v>CN</v>
      </c>
      <c r="T1338" s="181" t="str">
        <f ca="1">IF(B1338="","",IF(ISERROR(MATCH($J1338,SorP!$B$1:$B$6226,0)),"",INDIRECT("'SorP'!$A$"&amp;MATCH($S1338&amp;$J1338,SorP!C:C,0))))</f>
        <v>CN-JX</v>
      </c>
      <c r="U1338" s="201"/>
      <c r="V1338" s="226">
        <f>IF(C1338="",NA(),IF(OR(C1338="Smelter not listed",C1338="Smelter not yet identified"),MATCH($B1338&amp;$D1338,'Smelter Look-up'!$J:$J,0),MATCH($B1338&amp;$C1338,'Smelter Look-up'!$J:$J,0)))</f>
        <v>595</v>
      </c>
      <c r="X1338" s="227">
        <f t="shared" si="186"/>
        <v>0</v>
      </c>
      <c r="AB1338" s="228" t="str">
        <f t="shared" si="187"/>
        <v>TungstenChongyi Zhangyuan Tungsten Co., Ltd.</v>
      </c>
    </row>
    <row r="1339" spans="1:28" s="227" customFormat="1" ht="81">
      <c r="A1339" s="301" t="s">
        <v>786</v>
      </c>
      <c r="B1339" s="293" t="s">
        <v>1122</v>
      </c>
      <c r="C1339" s="294" t="s">
        <v>1367</v>
      </c>
      <c r="D1339" s="295" t="s">
        <v>1367</v>
      </c>
      <c r="E1339" s="293" t="s">
        <v>1090</v>
      </c>
      <c r="F1339" s="293" t="s">
        <v>786</v>
      </c>
      <c r="G1339" s="293" t="s">
        <v>13217</v>
      </c>
      <c r="H1339" s="296" t="s">
        <v>15855</v>
      </c>
      <c r="I1339" s="297" t="s">
        <v>1759</v>
      </c>
      <c r="J1339" s="297" t="s">
        <v>13596</v>
      </c>
      <c r="K1339" s="298" t="s">
        <v>15855</v>
      </c>
      <c r="L1339" s="298" t="s">
        <v>15855</v>
      </c>
      <c r="M1339" s="298" t="s">
        <v>15855</v>
      </c>
      <c r="N1339" s="298" t="s">
        <v>15855</v>
      </c>
      <c r="O1339" s="298" t="s">
        <v>15855</v>
      </c>
      <c r="P1339" s="299" t="s">
        <v>15875</v>
      </c>
      <c r="Q1339" s="300" t="s">
        <v>15855</v>
      </c>
      <c r="R1339" s="182" t="str">
        <f ca="1">IF(ISERROR($V1339),"",OFFSET('Smelter Look-up'!$C$4,$V1339-4,0)&amp;"")</f>
        <v>Chongyi Zhangyuan Tungsten Co., Ltd.</v>
      </c>
      <c r="S1339" s="181" t="str">
        <f t="shared" ref="S1339" ca="1" si="188">IF(B1339="","",IF(ISERROR(MATCH($E1339,CL,0)),"Unknown",INDIRECT("'C'!$A$"&amp;MATCH($E1339,CL,0)+1)))</f>
        <v>CN</v>
      </c>
      <c r="T1339" s="181" t="str">
        <f ca="1">IF(B1339="","",IF(ISERROR(MATCH($J1339,SorP!$B$1:$B$6226,0)),"",INDIRECT("'SorP'!$A$"&amp;MATCH($S1339&amp;$J1339,SorP!C:C,0))))</f>
        <v>CN-JX</v>
      </c>
      <c r="U1339" s="201"/>
      <c r="V1339" s="226">
        <f>IF(C1339="",NA(),IF(OR(C1339="Smelter not listed",C1339="Smelter not yet identified"),MATCH($B1339&amp;$D1339,'Smelter Look-up'!$J:$J,0),MATCH($B1339&amp;$C1339,'Smelter Look-up'!$J:$J,0)))</f>
        <v>595</v>
      </c>
      <c r="X1339" s="227">
        <f t="shared" ref="X1339" si="189">IF(AND(C1339="Smelter not listed",OR(LEN(D1339)=0,LEN(E1339)=0)),1,0)</f>
        <v>0</v>
      </c>
      <c r="AB1339" s="228" t="str">
        <f t="shared" ref="AB1339" si="190">B1339&amp;C1339</f>
        <v>TungstenChongyi Zhangyuan Tungsten Co., Ltd.</v>
      </c>
    </row>
    <row r="1340" spans="1:28" s="227" customFormat="1" ht="81">
      <c r="A1340" s="301" t="s">
        <v>786</v>
      </c>
      <c r="B1340" s="293" t="s">
        <v>1122</v>
      </c>
      <c r="C1340" s="294" t="s">
        <v>1367</v>
      </c>
      <c r="D1340" s="295" t="s">
        <v>1367</v>
      </c>
      <c r="E1340" s="293" t="s">
        <v>1090</v>
      </c>
      <c r="F1340" s="293" t="s">
        <v>786</v>
      </c>
      <c r="G1340" s="293" t="s">
        <v>13217</v>
      </c>
      <c r="H1340" s="296" t="s">
        <v>15855</v>
      </c>
      <c r="I1340" s="297" t="s">
        <v>1759</v>
      </c>
      <c r="J1340" s="297" t="s">
        <v>13596</v>
      </c>
      <c r="K1340" s="298" t="s">
        <v>15855</v>
      </c>
      <c r="L1340" s="298" t="s">
        <v>15855</v>
      </c>
      <c r="M1340" s="298" t="s">
        <v>15855</v>
      </c>
      <c r="N1340" s="298" t="s">
        <v>15855</v>
      </c>
      <c r="O1340" s="298" t="s">
        <v>16125</v>
      </c>
      <c r="P1340" s="299" t="s">
        <v>15857</v>
      </c>
      <c r="Q1340" s="300" t="s">
        <v>15855</v>
      </c>
      <c r="R1340" s="182" t="str">
        <f ca="1">IF(ISERROR($V1340),"",OFFSET('Smelter Look-up'!$C$4,$V1340-4,0)&amp;"")</f>
        <v>Chongyi Zhangyuan Tungsten Co., Ltd.</v>
      </c>
      <c r="S1340" s="181" t="str">
        <f t="shared" ref="S1340:S1371" ca="1" si="191">IF(B1340="","",IF(ISERROR(MATCH($E1340,CL,0)),"Unknown",INDIRECT("'C'!$A$"&amp;MATCH($E1340,CL,0)+1)))</f>
        <v>CN</v>
      </c>
      <c r="T1340" s="181" t="str">
        <f ca="1">IF(B1340="","",IF(ISERROR(MATCH($J1340,SorP!$B$1:$B$6226,0)),"",INDIRECT("'SorP'!$A$"&amp;MATCH($S1340&amp;$J1340,SorP!C:C,0))))</f>
        <v>CN-JX</v>
      </c>
      <c r="U1340" s="201"/>
      <c r="V1340" s="226">
        <f>IF(C1340="",NA(),IF(OR(C1340="Smelter not listed",C1340="Smelter not yet identified"),MATCH($B1340&amp;$D1340,'Smelter Look-up'!$J:$J,0),MATCH($B1340&amp;$C1340,'Smelter Look-up'!$J:$J,0)))</f>
        <v>595</v>
      </c>
      <c r="X1340" s="227">
        <f t="shared" ref="X1340:X1371" si="192">IF(AND(C1340="Smelter not listed",OR(LEN(D1340)=0,LEN(E1340)=0)),1,0)</f>
        <v>0</v>
      </c>
      <c r="AB1340" s="228" t="str">
        <f t="shared" ref="AB1340:AB1371" si="193">B1340&amp;C1340</f>
        <v>TungstenChongyi Zhangyuan Tungsten Co., Ltd.</v>
      </c>
    </row>
    <row r="1341" spans="1:28" s="227" customFormat="1" ht="81">
      <c r="A1341" s="301" t="s">
        <v>786</v>
      </c>
      <c r="B1341" s="293" t="s">
        <v>1122</v>
      </c>
      <c r="C1341" s="294" t="s">
        <v>1367</v>
      </c>
      <c r="D1341" s="295" t="s">
        <v>1367</v>
      </c>
      <c r="E1341" s="293" t="s">
        <v>1090</v>
      </c>
      <c r="F1341" s="293" t="s">
        <v>786</v>
      </c>
      <c r="G1341" s="293" t="s">
        <v>13217</v>
      </c>
      <c r="H1341" s="296" t="s">
        <v>15855</v>
      </c>
      <c r="I1341" s="297" t="s">
        <v>1759</v>
      </c>
      <c r="J1341" s="297" t="s">
        <v>13596</v>
      </c>
      <c r="K1341" s="298" t="s">
        <v>16969</v>
      </c>
      <c r="L1341" s="298" t="s">
        <v>16970</v>
      </c>
      <c r="M1341" s="298" t="s">
        <v>15855</v>
      </c>
      <c r="N1341" s="298" t="s">
        <v>16971</v>
      </c>
      <c r="O1341" s="298" t="s">
        <v>15989</v>
      </c>
      <c r="P1341" s="299" t="s">
        <v>15857</v>
      </c>
      <c r="Q1341" s="300" t="s">
        <v>15855</v>
      </c>
      <c r="R1341" s="182" t="str">
        <f ca="1">IF(ISERROR($V1341),"",OFFSET('Smelter Look-up'!$C$4,$V1341-4,0)&amp;"")</f>
        <v>Chongyi Zhangyuan Tungsten Co., Ltd.</v>
      </c>
      <c r="S1341" s="181" t="str">
        <f t="shared" ca="1" si="191"/>
        <v>CN</v>
      </c>
      <c r="T1341" s="181" t="str">
        <f ca="1">IF(B1341="","",IF(ISERROR(MATCH($J1341,SorP!$B$1:$B$6226,0)),"",INDIRECT("'SorP'!$A$"&amp;MATCH($S1341&amp;$J1341,SorP!C:C,0))))</f>
        <v>CN-JX</v>
      </c>
      <c r="U1341" s="201"/>
      <c r="V1341" s="226">
        <f>IF(C1341="",NA(),IF(OR(C1341="Smelter not listed",C1341="Smelter not yet identified"),MATCH($B1341&amp;$D1341,'Smelter Look-up'!$J:$J,0),MATCH($B1341&amp;$C1341,'Smelter Look-up'!$J:$J,0)))</f>
        <v>595</v>
      </c>
      <c r="X1341" s="227">
        <f t="shared" si="192"/>
        <v>0</v>
      </c>
      <c r="AB1341" s="228" t="str">
        <f t="shared" si="193"/>
        <v>TungstenChongyi Zhangyuan Tungsten Co., Ltd.</v>
      </c>
    </row>
    <row r="1342" spans="1:28" s="227" customFormat="1" ht="81">
      <c r="A1342" s="301" t="s">
        <v>786</v>
      </c>
      <c r="B1342" s="293" t="s">
        <v>1122</v>
      </c>
      <c r="C1342" s="294" t="s">
        <v>1367</v>
      </c>
      <c r="D1342" s="295" t="s">
        <v>1367</v>
      </c>
      <c r="E1342" s="293" t="s">
        <v>1090</v>
      </c>
      <c r="F1342" s="293" t="s">
        <v>786</v>
      </c>
      <c r="G1342" s="293" t="s">
        <v>13217</v>
      </c>
      <c r="H1342" s="296" t="s">
        <v>15855</v>
      </c>
      <c r="I1342" s="297" t="s">
        <v>1759</v>
      </c>
      <c r="J1342" s="297" t="s">
        <v>13596</v>
      </c>
      <c r="K1342" s="298" t="s">
        <v>16972</v>
      </c>
      <c r="L1342" s="298" t="s">
        <v>16973</v>
      </c>
      <c r="M1342" s="298" t="s">
        <v>15869</v>
      </c>
      <c r="N1342" s="298" t="s">
        <v>16974</v>
      </c>
      <c r="O1342" s="298" t="s">
        <v>15994</v>
      </c>
      <c r="P1342" s="299" t="s">
        <v>15857</v>
      </c>
      <c r="Q1342" s="300" t="s">
        <v>15855</v>
      </c>
      <c r="R1342" s="182" t="str">
        <f ca="1">IF(ISERROR($V1342),"",OFFSET('Smelter Look-up'!$C$4,$V1342-4,0)&amp;"")</f>
        <v>Chongyi Zhangyuan Tungsten Co., Ltd.</v>
      </c>
      <c r="S1342" s="181" t="str">
        <f t="shared" ca="1" si="191"/>
        <v>CN</v>
      </c>
      <c r="T1342" s="181" t="str">
        <f ca="1">IF(B1342="","",IF(ISERROR(MATCH($J1342,SorP!$B$1:$B$6226,0)),"",INDIRECT("'SorP'!$A$"&amp;MATCH($S1342&amp;$J1342,SorP!C:C,0))))</f>
        <v>CN-JX</v>
      </c>
      <c r="U1342" s="201"/>
      <c r="V1342" s="226">
        <f>IF(C1342="",NA(),IF(OR(C1342="Smelter not listed",C1342="Smelter not yet identified"),MATCH($B1342&amp;$D1342,'Smelter Look-up'!$J:$J,0),MATCH($B1342&amp;$C1342,'Smelter Look-up'!$J:$J,0)))</f>
        <v>595</v>
      </c>
      <c r="X1342" s="227">
        <f t="shared" si="192"/>
        <v>0</v>
      </c>
      <c r="AB1342" s="228" t="str">
        <f t="shared" si="193"/>
        <v>TungstenChongyi Zhangyuan Tungsten Co., Ltd.</v>
      </c>
    </row>
    <row r="1343" spans="1:28" s="227" customFormat="1" ht="81">
      <c r="A1343" s="301" t="s">
        <v>786</v>
      </c>
      <c r="B1343" s="293" t="s">
        <v>1122</v>
      </c>
      <c r="C1343" s="294" t="s">
        <v>1367</v>
      </c>
      <c r="D1343" s="295" t="s">
        <v>1367</v>
      </c>
      <c r="E1343" s="293" t="s">
        <v>1090</v>
      </c>
      <c r="F1343" s="293" t="s">
        <v>786</v>
      </c>
      <c r="G1343" s="293" t="s">
        <v>13217</v>
      </c>
      <c r="H1343" s="302" t="s">
        <v>15880</v>
      </c>
      <c r="I1343" s="297" t="s">
        <v>1759</v>
      </c>
      <c r="J1343" s="297" t="s">
        <v>13596</v>
      </c>
      <c r="K1343" s="298" t="s">
        <v>15855</v>
      </c>
      <c r="L1343" s="298" t="s">
        <v>15855</v>
      </c>
      <c r="M1343" s="298" t="s">
        <v>15855</v>
      </c>
      <c r="N1343" s="298" t="s">
        <v>15855</v>
      </c>
      <c r="O1343" s="298" t="s">
        <v>15855</v>
      </c>
      <c r="P1343" s="299" t="s">
        <v>15857</v>
      </c>
      <c r="Q1343" s="300" t="s">
        <v>15855</v>
      </c>
      <c r="R1343" s="182" t="str">
        <f ca="1">IF(ISERROR($V1343),"",OFFSET('Smelter Look-up'!$C$4,$V1343-4,0)&amp;"")</f>
        <v>Chongyi Zhangyuan Tungsten Co., Ltd.</v>
      </c>
      <c r="S1343" s="181" t="str">
        <f t="shared" ca="1" si="191"/>
        <v>CN</v>
      </c>
      <c r="T1343" s="181" t="str">
        <f ca="1">IF(B1343="","",IF(ISERROR(MATCH($J1343,SorP!$B$1:$B$6226,0)),"",INDIRECT("'SorP'!$A$"&amp;MATCH($S1343&amp;$J1343,SorP!C:C,0))))</f>
        <v>CN-JX</v>
      </c>
      <c r="U1343" s="201"/>
      <c r="V1343" s="226">
        <f>IF(C1343="",NA(),IF(OR(C1343="Smelter not listed",C1343="Smelter not yet identified"),MATCH($B1343&amp;$D1343,'Smelter Look-up'!$J:$J,0),MATCH($B1343&amp;$C1343,'Smelter Look-up'!$J:$J,0)))</f>
        <v>595</v>
      </c>
      <c r="X1343" s="227">
        <f t="shared" si="192"/>
        <v>0</v>
      </c>
      <c r="AB1343" s="228" t="str">
        <f t="shared" si="193"/>
        <v>TungstenChongyi Zhangyuan Tungsten Co., Ltd.</v>
      </c>
    </row>
    <row r="1344" spans="1:28" s="227" customFormat="1" ht="81">
      <c r="A1344" s="301" t="s">
        <v>786</v>
      </c>
      <c r="B1344" s="293" t="s">
        <v>1122</v>
      </c>
      <c r="C1344" s="294" t="s">
        <v>1367</v>
      </c>
      <c r="D1344" s="295" t="s">
        <v>1367</v>
      </c>
      <c r="E1344" s="293" t="s">
        <v>1090</v>
      </c>
      <c r="F1344" s="293" t="s">
        <v>786</v>
      </c>
      <c r="G1344" s="293" t="s">
        <v>13217</v>
      </c>
      <c r="H1344" s="302" t="s">
        <v>15880</v>
      </c>
      <c r="I1344" s="297" t="s">
        <v>1759</v>
      </c>
      <c r="J1344" s="297" t="s">
        <v>13596</v>
      </c>
      <c r="K1344" s="298" t="s">
        <v>16975</v>
      </c>
      <c r="L1344" s="298" t="s">
        <v>16970</v>
      </c>
      <c r="M1344" s="298" t="s">
        <v>15855</v>
      </c>
      <c r="N1344" s="298" t="s">
        <v>16971</v>
      </c>
      <c r="O1344" s="298" t="s">
        <v>15989</v>
      </c>
      <c r="P1344" s="299" t="s">
        <v>15857</v>
      </c>
      <c r="Q1344" s="300" t="s">
        <v>15855</v>
      </c>
      <c r="R1344" s="182" t="str">
        <f ca="1">IF(ISERROR($V1344),"",OFFSET('Smelter Look-up'!$C$4,$V1344-4,0)&amp;"")</f>
        <v>Chongyi Zhangyuan Tungsten Co., Ltd.</v>
      </c>
      <c r="S1344" s="181" t="str">
        <f t="shared" ca="1" si="191"/>
        <v>CN</v>
      </c>
      <c r="T1344" s="181" t="str">
        <f ca="1">IF(B1344="","",IF(ISERROR(MATCH($J1344,SorP!$B$1:$B$6226,0)),"",INDIRECT("'SorP'!$A$"&amp;MATCH($S1344&amp;$J1344,SorP!C:C,0))))</f>
        <v>CN-JX</v>
      </c>
      <c r="U1344" s="201"/>
      <c r="V1344" s="226">
        <f>IF(C1344="",NA(),IF(OR(C1344="Smelter not listed",C1344="Smelter not yet identified"),MATCH($B1344&amp;$D1344,'Smelter Look-up'!$J:$J,0),MATCH($B1344&amp;$C1344,'Smelter Look-up'!$J:$J,0)))</f>
        <v>595</v>
      </c>
      <c r="X1344" s="227">
        <f t="shared" si="192"/>
        <v>0</v>
      </c>
      <c r="AB1344" s="228" t="str">
        <f t="shared" si="193"/>
        <v>TungstenChongyi Zhangyuan Tungsten Co., Ltd.</v>
      </c>
    </row>
    <row r="1345" spans="1:28" s="227" customFormat="1" ht="67.5">
      <c r="A1345" s="301" t="s">
        <v>13790</v>
      </c>
      <c r="B1345" s="293" t="s">
        <v>1122</v>
      </c>
      <c r="C1345" s="294" t="s">
        <v>2127</v>
      </c>
      <c r="D1345" s="295" t="s">
        <v>2127</v>
      </c>
      <c r="E1345" s="293" t="s">
        <v>1090</v>
      </c>
      <c r="F1345" s="293" t="s">
        <v>13790</v>
      </c>
      <c r="G1345" s="293" t="s">
        <v>13217</v>
      </c>
      <c r="H1345" s="296" t="s">
        <v>15855</v>
      </c>
      <c r="I1345" s="297" t="s">
        <v>1745</v>
      </c>
      <c r="J1345" s="297" t="s">
        <v>13580</v>
      </c>
      <c r="K1345" s="298" t="s">
        <v>15855</v>
      </c>
      <c r="L1345" s="298" t="s">
        <v>15855</v>
      </c>
      <c r="M1345" s="298" t="s">
        <v>15855</v>
      </c>
      <c r="N1345" s="298" t="s">
        <v>15855</v>
      </c>
      <c r="O1345" s="298" t="s">
        <v>15858</v>
      </c>
      <c r="P1345" s="299" t="s">
        <v>15857</v>
      </c>
      <c r="Q1345" s="300" t="s">
        <v>15855</v>
      </c>
      <c r="R1345" s="182" t="str">
        <f ca="1">IF(ISERROR($V1345),"",OFFSET('Smelter Look-up'!$C$4,$V1345-4,0)&amp;"")</f>
        <v>CNMC (Guangxi) PGMA Co., Ltd.</v>
      </c>
      <c r="S1345" s="181" t="str">
        <f t="shared" ca="1" si="191"/>
        <v>CN</v>
      </c>
      <c r="T1345" s="181" t="str">
        <f ca="1">IF(B1345="","",IF(ISERROR(MATCH($J1345,SorP!$B$1:$B$6226,0)),"",INDIRECT("'SorP'!$A$"&amp;MATCH($S1345&amp;$J1345,SorP!C:C,0))))</f>
        <v>CN-GX</v>
      </c>
      <c r="U1345" s="201"/>
      <c r="V1345" s="226">
        <f>IF(C1345="",NA(),IF(OR(C1345="Smelter not listed",C1345="Smelter not yet identified"),MATCH($B1345&amp;$D1345,'Smelter Look-up'!$J:$J,0),MATCH($B1345&amp;$C1345,'Smelter Look-up'!$J:$J,0)))</f>
        <v>596</v>
      </c>
      <c r="X1345" s="227">
        <f t="shared" si="192"/>
        <v>0</v>
      </c>
      <c r="AB1345" s="228" t="str">
        <f t="shared" si="193"/>
        <v>TungstenCNMC (Guangxi) PGMA Co., Ltd.</v>
      </c>
    </row>
    <row r="1346" spans="1:28" s="227" customFormat="1" ht="54">
      <c r="A1346" s="301" t="s">
        <v>13844</v>
      </c>
      <c r="B1346" s="293" t="s">
        <v>1122</v>
      </c>
      <c r="C1346" s="294" t="s">
        <v>13830</v>
      </c>
      <c r="D1346" s="295" t="s">
        <v>13830</v>
      </c>
      <c r="E1346" s="293" t="s">
        <v>1086</v>
      </c>
      <c r="F1346" s="293" t="s">
        <v>13844</v>
      </c>
      <c r="G1346" s="293" t="s">
        <v>13217</v>
      </c>
      <c r="H1346" s="296" t="s">
        <v>15855</v>
      </c>
      <c r="I1346" s="297" t="s">
        <v>13853</v>
      </c>
      <c r="J1346" s="297" t="s">
        <v>3443</v>
      </c>
      <c r="K1346" s="298" t="s">
        <v>15855</v>
      </c>
      <c r="L1346" s="298" t="s">
        <v>15855</v>
      </c>
      <c r="M1346" s="298" t="s">
        <v>15855</v>
      </c>
      <c r="N1346" s="298" t="s">
        <v>15855</v>
      </c>
      <c r="O1346" s="298" t="s">
        <v>15855</v>
      </c>
      <c r="P1346" s="299" t="s">
        <v>15857</v>
      </c>
      <c r="Q1346" s="300" t="s">
        <v>15855</v>
      </c>
      <c r="R1346" s="182" t="str">
        <f ca="1">IF(ISERROR($V1346),"",OFFSET('Smelter Look-up'!$C$4,$V1346-4,0)&amp;"")</f>
        <v>Cronimet Brasil Ltda</v>
      </c>
      <c r="S1346" s="181" t="str">
        <f t="shared" ca="1" si="191"/>
        <v>BR</v>
      </c>
      <c r="T1346" s="181" t="str">
        <f ca="1">IF(B1346="","",IF(ISERROR(MATCH($J1346,SorP!$B$1:$B$6226,0)),"",INDIRECT("'SorP'!$A$"&amp;MATCH($S1346&amp;$J1346,SorP!C:C,0))))</f>
        <v>BR-SC</v>
      </c>
      <c r="U1346" s="201"/>
      <c r="V1346" s="226">
        <f>IF(C1346="",NA(),IF(OR(C1346="Smelter not listed",C1346="Smelter not yet identified"),MATCH($B1346&amp;$D1346,'Smelter Look-up'!$J:$J,0),MATCH($B1346&amp;$C1346,'Smelter Look-up'!$J:$J,0)))</f>
        <v>597</v>
      </c>
      <c r="X1346" s="227">
        <f t="shared" si="192"/>
        <v>0</v>
      </c>
      <c r="AB1346" s="228" t="str">
        <f t="shared" si="193"/>
        <v>TungstenCronimet Brasil Ltda</v>
      </c>
    </row>
    <row r="1347" spans="1:28" s="227" customFormat="1" ht="54">
      <c r="A1347" s="301" t="s">
        <v>13844</v>
      </c>
      <c r="B1347" s="293" t="s">
        <v>1122</v>
      </c>
      <c r="C1347" s="294" t="s">
        <v>13830</v>
      </c>
      <c r="D1347" s="295" t="s">
        <v>13830</v>
      </c>
      <c r="E1347" s="293" t="s">
        <v>1086</v>
      </c>
      <c r="F1347" s="293" t="s">
        <v>13844</v>
      </c>
      <c r="G1347" s="293" t="s">
        <v>13217</v>
      </c>
      <c r="H1347" s="296" t="s">
        <v>15855</v>
      </c>
      <c r="I1347" s="297" t="s">
        <v>13853</v>
      </c>
      <c r="J1347" s="297" t="s">
        <v>3443</v>
      </c>
      <c r="K1347" s="298" t="s">
        <v>15855</v>
      </c>
      <c r="L1347" s="298" t="s">
        <v>15855</v>
      </c>
      <c r="M1347" s="298" t="s">
        <v>15855</v>
      </c>
      <c r="N1347" s="298" t="s">
        <v>15855</v>
      </c>
      <c r="O1347" s="298" t="s">
        <v>15858</v>
      </c>
      <c r="P1347" s="299" t="s">
        <v>15857</v>
      </c>
      <c r="Q1347" s="300" t="s">
        <v>15855</v>
      </c>
      <c r="R1347" s="182" t="str">
        <f ca="1">IF(ISERROR($V1347),"",OFFSET('Smelter Look-up'!$C$4,$V1347-4,0)&amp;"")</f>
        <v>Cronimet Brasil Ltda</v>
      </c>
      <c r="S1347" s="181" t="str">
        <f t="shared" ca="1" si="191"/>
        <v>BR</v>
      </c>
      <c r="T1347" s="181" t="str">
        <f ca="1">IF(B1347="","",IF(ISERROR(MATCH($J1347,SorP!$B$1:$B$6226,0)),"",INDIRECT("'SorP'!$A$"&amp;MATCH($S1347&amp;$J1347,SorP!C:C,0))))</f>
        <v>BR-SC</v>
      </c>
      <c r="U1347" s="201"/>
      <c r="V1347" s="226">
        <f>IF(C1347="",NA(),IF(OR(C1347="Smelter not listed",C1347="Smelter not yet identified"),MATCH($B1347&amp;$D1347,'Smelter Look-up'!$J:$J,0),MATCH($B1347&amp;$C1347,'Smelter Look-up'!$J:$J,0)))</f>
        <v>597</v>
      </c>
      <c r="X1347" s="227">
        <f t="shared" si="192"/>
        <v>0</v>
      </c>
      <c r="AB1347" s="228" t="str">
        <f t="shared" si="193"/>
        <v>TungstenCronimet Brasil Ltda</v>
      </c>
    </row>
    <row r="1348" spans="1:28" s="227" customFormat="1" ht="81">
      <c r="A1348" s="301" t="s">
        <v>16976</v>
      </c>
      <c r="B1348" s="293" t="s">
        <v>1122</v>
      </c>
      <c r="C1348" s="294" t="s">
        <v>16977</v>
      </c>
      <c r="D1348" s="295" t="s">
        <v>16977</v>
      </c>
      <c r="E1348" s="293" t="s">
        <v>1090</v>
      </c>
      <c r="F1348" s="293" t="s">
        <v>16976</v>
      </c>
      <c r="G1348" s="293" t="s">
        <v>13217</v>
      </c>
      <c r="H1348" s="296" t="s">
        <v>15855</v>
      </c>
      <c r="I1348" s="297" t="s">
        <v>13809</v>
      </c>
      <c r="J1348" s="297" t="s">
        <v>13595</v>
      </c>
      <c r="K1348" s="298" t="s">
        <v>15855</v>
      </c>
      <c r="L1348" s="298" t="s">
        <v>15855</v>
      </c>
      <c r="M1348" s="298" t="s">
        <v>15855</v>
      </c>
      <c r="N1348" s="298" t="s">
        <v>15855</v>
      </c>
      <c r="O1348" s="298" t="s">
        <v>15855</v>
      </c>
      <c r="P1348" s="299" t="s">
        <v>15857</v>
      </c>
      <c r="Q1348" s="300" t="s">
        <v>15855</v>
      </c>
      <c r="R1348" s="182" t="str">
        <f ca="1">IF(ISERROR($V1348),"",OFFSET('Smelter Look-up'!$C$4,$V1348-4,0)&amp;"")</f>
        <v/>
      </c>
      <c r="S1348" s="181" t="str">
        <f t="shared" ca="1" si="191"/>
        <v>CN</v>
      </c>
      <c r="T1348" s="181" t="str">
        <f ca="1">IF(B1348="","",IF(ISERROR(MATCH($J1348,SorP!$B$1:$B$6226,0)),"",INDIRECT("'SorP'!$A$"&amp;MATCH($S1348&amp;$J1348,SorP!C:C,0))))</f>
        <v>CN-FJ</v>
      </c>
      <c r="U1348" s="201"/>
      <c r="V1348" s="226" t="e">
        <f>IF(C1348="",NA(),IF(OR(C1348="Smelter not listed",C1348="Smelter not yet identified"),MATCH($B1348&amp;$D1348,'Smelter Look-up'!$J:$J,0),MATCH($B1348&amp;$C1348,'Smelter Look-up'!$J:$J,0)))</f>
        <v>#N/A</v>
      </c>
      <c r="X1348" s="227">
        <f t="shared" si="192"/>
        <v>0</v>
      </c>
      <c r="AB1348" s="228" t="str">
        <f t="shared" si="193"/>
        <v>TungstenFujian Ganmin RareMetal Co., Ltd.</v>
      </c>
    </row>
    <row r="1349" spans="1:28" s="227" customFormat="1" ht="81">
      <c r="A1349" s="301" t="s">
        <v>16976</v>
      </c>
      <c r="B1349" s="293" t="s">
        <v>1122</v>
      </c>
      <c r="C1349" s="294" t="s">
        <v>16977</v>
      </c>
      <c r="D1349" s="295" t="s">
        <v>16977</v>
      </c>
      <c r="E1349" s="293" t="s">
        <v>1090</v>
      </c>
      <c r="F1349" s="293" t="s">
        <v>16976</v>
      </c>
      <c r="G1349" s="293" t="s">
        <v>13217</v>
      </c>
      <c r="H1349" s="296" t="s">
        <v>15855</v>
      </c>
      <c r="I1349" s="297" t="s">
        <v>13809</v>
      </c>
      <c r="J1349" s="297" t="s">
        <v>13595</v>
      </c>
      <c r="K1349" s="298" t="s">
        <v>16978</v>
      </c>
      <c r="L1349" s="298" t="s">
        <v>16979</v>
      </c>
      <c r="M1349" s="298" t="s">
        <v>16980</v>
      </c>
      <c r="N1349" s="298" t="s">
        <v>15862</v>
      </c>
      <c r="O1349" s="298" t="s">
        <v>16334</v>
      </c>
      <c r="P1349" s="299" t="s">
        <v>15857</v>
      </c>
      <c r="Q1349" s="300" t="s">
        <v>15855</v>
      </c>
      <c r="R1349" s="182" t="str">
        <f ca="1">IF(ISERROR($V1349),"",OFFSET('Smelter Look-up'!$C$4,$V1349-4,0)&amp;"")</f>
        <v/>
      </c>
      <c r="S1349" s="181" t="str">
        <f t="shared" ca="1" si="191"/>
        <v>CN</v>
      </c>
      <c r="T1349" s="181" t="str">
        <f ca="1">IF(B1349="","",IF(ISERROR(MATCH($J1349,SorP!$B$1:$B$6226,0)),"",INDIRECT("'SorP'!$A$"&amp;MATCH($S1349&amp;$J1349,SorP!C:C,0))))</f>
        <v>CN-FJ</v>
      </c>
      <c r="U1349" s="201"/>
      <c r="V1349" s="226" t="e">
        <f>IF(C1349="",NA(),IF(OR(C1349="Smelter not listed",C1349="Smelter not yet identified"),MATCH($B1349&amp;$D1349,'Smelter Look-up'!$J:$J,0),MATCH($B1349&amp;$C1349,'Smelter Look-up'!$J:$J,0)))</f>
        <v>#N/A</v>
      </c>
      <c r="X1349" s="227">
        <f t="shared" si="192"/>
        <v>0</v>
      </c>
      <c r="AB1349" s="228" t="str">
        <f t="shared" si="193"/>
        <v>TungstenFujian Ganmin RareMetal Co., Ltd.</v>
      </c>
    </row>
    <row r="1350" spans="1:28" s="227" customFormat="1" ht="67.5">
      <c r="A1350" s="301" t="s">
        <v>16981</v>
      </c>
      <c r="B1350" s="293" t="s">
        <v>1122</v>
      </c>
      <c r="C1350" s="294" t="s">
        <v>16982</v>
      </c>
      <c r="D1350" s="295" t="s">
        <v>16982</v>
      </c>
      <c r="E1350" s="293" t="s">
        <v>1090</v>
      </c>
      <c r="F1350" s="293" t="s">
        <v>16981</v>
      </c>
      <c r="G1350" s="293" t="s">
        <v>13217</v>
      </c>
      <c r="H1350" s="296" t="s">
        <v>15855</v>
      </c>
      <c r="I1350" s="297" t="s">
        <v>16983</v>
      </c>
      <c r="J1350" s="297" t="s">
        <v>13595</v>
      </c>
      <c r="K1350" s="298" t="s">
        <v>15855</v>
      </c>
      <c r="L1350" s="298" t="s">
        <v>15855</v>
      </c>
      <c r="M1350" s="298" t="s">
        <v>15855</v>
      </c>
      <c r="N1350" s="298" t="s">
        <v>15855</v>
      </c>
      <c r="O1350" s="298" t="s">
        <v>15855</v>
      </c>
      <c r="P1350" s="299" t="s">
        <v>15857</v>
      </c>
      <c r="Q1350" s="300" t="s">
        <v>15855</v>
      </c>
      <c r="R1350" s="182" t="str">
        <f ca="1">IF(ISERROR($V1350),"",OFFSET('Smelter Look-up'!$C$4,$V1350-4,0)&amp;"")</f>
        <v/>
      </c>
      <c r="S1350" s="181" t="str">
        <f t="shared" ca="1" si="191"/>
        <v>CN</v>
      </c>
      <c r="T1350" s="181" t="str">
        <f ca="1">IF(B1350="","",IF(ISERROR(MATCH($J1350,SorP!$B$1:$B$6226,0)),"",INDIRECT("'SorP'!$A$"&amp;MATCH($S1350&amp;$J1350,SorP!C:C,0))))</f>
        <v>CN-FJ</v>
      </c>
      <c r="U1350" s="201"/>
      <c r="V1350" s="226" t="e">
        <f>IF(C1350="",NA(),IF(OR(C1350="Smelter not listed",C1350="Smelter not yet identified"),MATCH($B1350&amp;$D1350,'Smelter Look-up'!$J:$J,0),MATCH($B1350&amp;$C1350,'Smelter Look-up'!$J:$J,0)))</f>
        <v>#N/A</v>
      </c>
      <c r="X1350" s="227">
        <f t="shared" si="192"/>
        <v>0</v>
      </c>
      <c r="AB1350" s="228" t="str">
        <f t="shared" si="193"/>
        <v>TungstenFujian Jinxin Tungsten Co., Ltd.</v>
      </c>
    </row>
    <row r="1351" spans="1:28" s="227" customFormat="1" ht="54">
      <c r="A1351" s="301" t="s">
        <v>15093</v>
      </c>
      <c r="B1351" s="293" t="s">
        <v>1122</v>
      </c>
      <c r="C1351" s="294" t="s">
        <v>15092</v>
      </c>
      <c r="D1351" s="295" t="s">
        <v>15092</v>
      </c>
      <c r="E1351" s="293" t="s">
        <v>1090</v>
      </c>
      <c r="F1351" s="293" t="s">
        <v>15093</v>
      </c>
      <c r="G1351" s="293" t="s">
        <v>13217</v>
      </c>
      <c r="H1351" s="296" t="s">
        <v>15855</v>
      </c>
      <c r="I1351" s="297" t="s">
        <v>13809</v>
      </c>
      <c r="J1351" s="297" t="s">
        <v>13595</v>
      </c>
      <c r="K1351" s="298" t="s">
        <v>15855</v>
      </c>
      <c r="L1351" s="298" t="s">
        <v>15855</v>
      </c>
      <c r="M1351" s="298" t="s">
        <v>15855</v>
      </c>
      <c r="N1351" s="298" t="s">
        <v>15855</v>
      </c>
      <c r="O1351" s="298" t="s">
        <v>15855</v>
      </c>
      <c r="P1351" s="299" t="s">
        <v>15857</v>
      </c>
      <c r="Q1351" s="300" t="s">
        <v>15855</v>
      </c>
      <c r="R1351" s="182" t="str">
        <f ca="1">IF(ISERROR($V1351),"",OFFSET('Smelter Look-up'!$C$4,$V1351-4,0)&amp;"")</f>
        <v>Fujian Xinlu Tungsten Co., Ltd.</v>
      </c>
      <c r="S1351" s="181" t="str">
        <f t="shared" ca="1" si="191"/>
        <v>CN</v>
      </c>
      <c r="T1351" s="181" t="str">
        <f ca="1">IF(B1351="","",IF(ISERROR(MATCH($J1351,SorP!$B$1:$B$6226,0)),"",INDIRECT("'SorP'!$A$"&amp;MATCH($S1351&amp;$J1351,SorP!C:C,0))))</f>
        <v>CN-FJ</v>
      </c>
      <c r="U1351" s="201"/>
      <c r="V1351" s="226">
        <f>IF(C1351="",NA(),IF(OR(C1351="Smelter not listed",C1351="Smelter not yet identified"),MATCH($B1351&amp;$D1351,'Smelter Look-up'!$J:$J,0),MATCH($B1351&amp;$C1351,'Smelter Look-up'!$J:$J,0)))</f>
        <v>599</v>
      </c>
      <c r="X1351" s="227">
        <f t="shared" si="192"/>
        <v>0</v>
      </c>
      <c r="AB1351" s="228" t="str">
        <f t="shared" si="193"/>
        <v>TungstenFujian Xinlu Tungsten</v>
      </c>
    </row>
    <row r="1352" spans="1:28" s="227" customFormat="1" ht="67.5">
      <c r="A1352" s="301" t="s">
        <v>15093</v>
      </c>
      <c r="B1352" s="293" t="s">
        <v>1122</v>
      </c>
      <c r="C1352" s="294" t="s">
        <v>15517</v>
      </c>
      <c r="D1352" s="295" t="s">
        <v>15517</v>
      </c>
      <c r="E1352" s="293" t="s">
        <v>1090</v>
      </c>
      <c r="F1352" s="293" t="s">
        <v>15093</v>
      </c>
      <c r="G1352" s="293" t="s">
        <v>13217</v>
      </c>
      <c r="H1352" s="296" t="s">
        <v>15855</v>
      </c>
      <c r="I1352" s="297" t="s">
        <v>13809</v>
      </c>
      <c r="J1352" s="297" t="s">
        <v>13595</v>
      </c>
      <c r="K1352" s="298" t="s">
        <v>15855</v>
      </c>
      <c r="L1352" s="298" t="s">
        <v>15855</v>
      </c>
      <c r="M1352" s="298" t="s">
        <v>15855</v>
      </c>
      <c r="N1352" s="298" t="s">
        <v>15855</v>
      </c>
      <c r="O1352" s="298" t="s">
        <v>15858</v>
      </c>
      <c r="P1352" s="299" t="s">
        <v>15857</v>
      </c>
      <c r="Q1352" s="300" t="s">
        <v>15855</v>
      </c>
      <c r="R1352" s="182" t="str">
        <f ca="1">IF(ISERROR($V1352),"",OFFSET('Smelter Look-up'!$C$4,$V1352-4,0)&amp;"")</f>
        <v>Fujian Xinlu Tungsten Co., Ltd.</v>
      </c>
      <c r="S1352" s="181" t="str">
        <f t="shared" ca="1" si="191"/>
        <v>CN</v>
      </c>
      <c r="T1352" s="181" t="str">
        <f ca="1">IF(B1352="","",IF(ISERROR(MATCH($J1352,SorP!$B$1:$B$6226,0)),"",INDIRECT("'SorP'!$A$"&amp;MATCH($S1352&amp;$J1352,SorP!C:C,0))))</f>
        <v>CN-FJ</v>
      </c>
      <c r="U1352" s="201"/>
      <c r="V1352" s="226">
        <f>IF(C1352="",NA(),IF(OR(C1352="Smelter not listed",C1352="Smelter not yet identified"),MATCH($B1352&amp;$D1352,'Smelter Look-up'!$J:$J,0),MATCH($B1352&amp;$C1352,'Smelter Look-up'!$J:$J,0)))</f>
        <v>600</v>
      </c>
      <c r="X1352" s="227">
        <f t="shared" si="192"/>
        <v>0</v>
      </c>
      <c r="AB1352" s="228" t="str">
        <f t="shared" si="193"/>
        <v>TungstenFujian Xinlu Tungsten Co., Ltd.</v>
      </c>
    </row>
    <row r="1353" spans="1:28" s="227" customFormat="1" ht="81">
      <c r="A1353" s="301" t="s">
        <v>16984</v>
      </c>
      <c r="B1353" s="293" t="s">
        <v>1122</v>
      </c>
      <c r="C1353" s="294" t="s">
        <v>16985</v>
      </c>
      <c r="D1353" s="295" t="s">
        <v>16985</v>
      </c>
      <c r="E1353" s="293" t="s">
        <v>1090</v>
      </c>
      <c r="F1353" s="293" t="s">
        <v>16984</v>
      </c>
      <c r="G1353" s="293" t="s">
        <v>13217</v>
      </c>
      <c r="H1353" s="296" t="s">
        <v>15855</v>
      </c>
      <c r="I1353" s="297" t="s">
        <v>1759</v>
      </c>
      <c r="J1353" s="297" t="s">
        <v>13596</v>
      </c>
      <c r="K1353" s="298" t="s">
        <v>15855</v>
      </c>
      <c r="L1353" s="298" t="s">
        <v>15855</v>
      </c>
      <c r="M1353" s="298" t="s">
        <v>15855</v>
      </c>
      <c r="N1353" s="298" t="s">
        <v>15855</v>
      </c>
      <c r="O1353" s="298" t="s">
        <v>15855</v>
      </c>
      <c r="P1353" s="299" t="s">
        <v>15857</v>
      </c>
      <c r="Q1353" s="300" t="s">
        <v>15855</v>
      </c>
      <c r="R1353" s="182" t="str">
        <f ca="1">IF(ISERROR($V1353),"",OFFSET('Smelter Look-up'!$C$4,$V1353-4,0)&amp;"")</f>
        <v/>
      </c>
      <c r="S1353" s="181" t="str">
        <f t="shared" ca="1" si="191"/>
        <v>CN</v>
      </c>
      <c r="T1353" s="181" t="str">
        <f ca="1">IF(B1353="","",IF(ISERROR(MATCH($J1353,SorP!$B$1:$B$6226,0)),"",INDIRECT("'SorP'!$A$"&amp;MATCH($S1353&amp;$J1353,SorP!C:C,0))))</f>
        <v>CN-JX</v>
      </c>
      <c r="U1353" s="201"/>
      <c r="V1353" s="226" t="e">
        <f>IF(C1353="",NA(),IF(OR(C1353="Smelter not listed",C1353="Smelter not yet identified"),MATCH($B1353&amp;$D1353,'Smelter Look-up'!$J:$J,0),MATCH($B1353&amp;$C1353,'Smelter Look-up'!$J:$J,0)))</f>
        <v>#N/A</v>
      </c>
      <c r="X1353" s="227">
        <f t="shared" si="192"/>
        <v>0</v>
      </c>
      <c r="AB1353" s="228" t="str">
        <f t="shared" si="193"/>
        <v>TungstenGanzhou Haichuang Tungsten Co., Ltd.</v>
      </c>
    </row>
    <row r="1354" spans="1:28" s="227" customFormat="1" ht="81">
      <c r="A1354" s="301" t="s">
        <v>16984</v>
      </c>
      <c r="B1354" s="293" t="s">
        <v>1122</v>
      </c>
      <c r="C1354" s="294" t="s">
        <v>16985</v>
      </c>
      <c r="D1354" s="295" t="s">
        <v>16985</v>
      </c>
      <c r="E1354" s="293" t="s">
        <v>1090</v>
      </c>
      <c r="F1354" s="293" t="s">
        <v>16984</v>
      </c>
      <c r="G1354" s="293" t="s">
        <v>13217</v>
      </c>
      <c r="H1354" s="296" t="s">
        <v>15855</v>
      </c>
      <c r="I1354" s="297" t="s">
        <v>1759</v>
      </c>
      <c r="J1354" s="297" t="s">
        <v>13596</v>
      </c>
      <c r="K1354" s="298" t="s">
        <v>16986</v>
      </c>
      <c r="L1354" s="298" t="s">
        <v>16987</v>
      </c>
      <c r="M1354" s="298" t="s">
        <v>16988</v>
      </c>
      <c r="N1354" s="298" t="s">
        <v>15870</v>
      </c>
      <c r="O1354" s="298" t="s">
        <v>16334</v>
      </c>
      <c r="P1354" s="299" t="s">
        <v>15857</v>
      </c>
      <c r="Q1354" s="300" t="s">
        <v>15855</v>
      </c>
      <c r="R1354" s="182" t="str">
        <f ca="1">IF(ISERROR($V1354),"",OFFSET('Smelter Look-up'!$C$4,$V1354-4,0)&amp;"")</f>
        <v/>
      </c>
      <c r="S1354" s="181" t="str">
        <f t="shared" ca="1" si="191"/>
        <v>CN</v>
      </c>
      <c r="T1354" s="181" t="str">
        <f ca="1">IF(B1354="","",IF(ISERROR(MATCH($J1354,SorP!$B$1:$B$6226,0)),"",INDIRECT("'SorP'!$A$"&amp;MATCH($S1354&amp;$J1354,SorP!C:C,0))))</f>
        <v>CN-JX</v>
      </c>
      <c r="U1354" s="201"/>
      <c r="V1354" s="226" t="e">
        <f>IF(C1354="",NA(),IF(OR(C1354="Smelter not listed",C1354="Smelter not yet identified"),MATCH($B1354&amp;$D1354,'Smelter Look-up'!$J:$J,0),MATCH($B1354&amp;$C1354,'Smelter Look-up'!$J:$J,0)))</f>
        <v>#N/A</v>
      </c>
      <c r="X1354" s="227">
        <f t="shared" si="192"/>
        <v>0</v>
      </c>
      <c r="AB1354" s="228" t="str">
        <f t="shared" si="193"/>
        <v>TungstenGanzhou Haichuang Tungsten Co., Ltd.</v>
      </c>
    </row>
    <row r="1355" spans="1:28" s="227" customFormat="1" ht="81">
      <c r="A1355" s="301" t="s">
        <v>16984</v>
      </c>
      <c r="B1355" s="293" t="s">
        <v>1122</v>
      </c>
      <c r="C1355" s="294" t="s">
        <v>16985</v>
      </c>
      <c r="D1355" s="295" t="s">
        <v>16985</v>
      </c>
      <c r="E1355" s="293" t="s">
        <v>1090</v>
      </c>
      <c r="F1355" s="293" t="s">
        <v>16984</v>
      </c>
      <c r="G1355" s="293" t="s">
        <v>13217</v>
      </c>
      <c r="H1355" s="302" t="s">
        <v>15880</v>
      </c>
      <c r="I1355" s="297" t="s">
        <v>1759</v>
      </c>
      <c r="J1355" s="297" t="s">
        <v>13596</v>
      </c>
      <c r="K1355" s="298" t="s">
        <v>15855</v>
      </c>
      <c r="L1355" s="298" t="s">
        <v>15855</v>
      </c>
      <c r="M1355" s="298" t="s">
        <v>15855</v>
      </c>
      <c r="N1355" s="298" t="s">
        <v>15855</v>
      </c>
      <c r="O1355" s="298" t="s">
        <v>15855</v>
      </c>
      <c r="P1355" s="299" t="s">
        <v>15857</v>
      </c>
      <c r="Q1355" s="300" t="s">
        <v>15855</v>
      </c>
      <c r="R1355" s="182" t="str">
        <f ca="1">IF(ISERROR($V1355),"",OFFSET('Smelter Look-up'!$C$4,$V1355-4,0)&amp;"")</f>
        <v/>
      </c>
      <c r="S1355" s="181" t="str">
        <f t="shared" ca="1" si="191"/>
        <v>CN</v>
      </c>
      <c r="T1355" s="181" t="str">
        <f ca="1">IF(B1355="","",IF(ISERROR(MATCH($J1355,SorP!$B$1:$B$6226,0)),"",INDIRECT("'SorP'!$A$"&amp;MATCH($S1355&amp;$J1355,SorP!C:C,0))))</f>
        <v>CN-JX</v>
      </c>
      <c r="U1355" s="201"/>
      <c r="V1355" s="226" t="e">
        <f>IF(C1355="",NA(),IF(OR(C1355="Smelter not listed",C1355="Smelter not yet identified"),MATCH($B1355&amp;$D1355,'Smelter Look-up'!$J:$J,0),MATCH($B1355&amp;$C1355,'Smelter Look-up'!$J:$J,0)))</f>
        <v>#N/A</v>
      </c>
      <c r="X1355" s="227">
        <f t="shared" si="192"/>
        <v>0</v>
      </c>
      <c r="AB1355" s="228" t="str">
        <f t="shared" si="193"/>
        <v>TungstenGanzhou Haichuang Tungsten Co., Ltd.</v>
      </c>
    </row>
    <row r="1356" spans="1:28" s="227" customFormat="1" ht="81">
      <c r="A1356" s="301" t="s">
        <v>16989</v>
      </c>
      <c r="B1356" s="293" t="s">
        <v>1122</v>
      </c>
      <c r="C1356" s="294" t="s">
        <v>16990</v>
      </c>
      <c r="D1356" s="295" t="s">
        <v>16990</v>
      </c>
      <c r="E1356" s="293" t="s">
        <v>1090</v>
      </c>
      <c r="F1356" s="293" t="s">
        <v>16989</v>
      </c>
      <c r="G1356" s="293" t="s">
        <v>13217</v>
      </c>
      <c r="H1356" s="296" t="s">
        <v>15855</v>
      </c>
      <c r="I1356" s="297" t="s">
        <v>1759</v>
      </c>
      <c r="J1356" s="297" t="s">
        <v>13596</v>
      </c>
      <c r="K1356" s="298" t="s">
        <v>15855</v>
      </c>
      <c r="L1356" s="298" t="s">
        <v>15855</v>
      </c>
      <c r="M1356" s="298" t="s">
        <v>15855</v>
      </c>
      <c r="N1356" s="298" t="s">
        <v>15855</v>
      </c>
      <c r="O1356" s="298" t="s">
        <v>15855</v>
      </c>
      <c r="P1356" s="299" t="s">
        <v>15857</v>
      </c>
      <c r="Q1356" s="300" t="s">
        <v>15855</v>
      </c>
      <c r="R1356" s="182" t="str">
        <f ca="1">IF(ISERROR($V1356),"",OFFSET('Smelter Look-up'!$C$4,$V1356-4,0)&amp;"")</f>
        <v/>
      </c>
      <c r="S1356" s="181" t="str">
        <f t="shared" ca="1" si="191"/>
        <v>CN</v>
      </c>
      <c r="T1356" s="181" t="str">
        <f ca="1">IF(B1356="","",IF(ISERROR(MATCH($J1356,SorP!$B$1:$B$6226,0)),"",INDIRECT("'SorP'!$A$"&amp;MATCH($S1356&amp;$J1356,SorP!C:C,0))))</f>
        <v>CN-JX</v>
      </c>
      <c r="U1356" s="201"/>
      <c r="V1356" s="226" t="e">
        <f>IF(C1356="",NA(),IF(OR(C1356="Smelter not listed",C1356="Smelter not yet identified"),MATCH($B1356&amp;$D1356,'Smelter Look-up'!$J:$J,0),MATCH($B1356&amp;$C1356,'Smelter Look-up'!$J:$J,0)))</f>
        <v>#N/A</v>
      </c>
      <c r="X1356" s="227">
        <f t="shared" si="192"/>
        <v>0</v>
      </c>
      <c r="AB1356" s="228" t="str">
        <f t="shared" si="193"/>
        <v>TungstenGanzhou Huaxing Tungsten Products Co., Ltd.</v>
      </c>
    </row>
    <row r="1357" spans="1:28" s="227" customFormat="1" ht="81">
      <c r="A1357" s="301" t="s">
        <v>16989</v>
      </c>
      <c r="B1357" s="293" t="s">
        <v>1122</v>
      </c>
      <c r="C1357" s="294" t="s">
        <v>16990</v>
      </c>
      <c r="D1357" s="295" t="s">
        <v>16990</v>
      </c>
      <c r="E1357" s="293" t="s">
        <v>1090</v>
      </c>
      <c r="F1357" s="293" t="s">
        <v>16989</v>
      </c>
      <c r="G1357" s="293" t="s">
        <v>13217</v>
      </c>
      <c r="H1357" s="296" t="s">
        <v>15855</v>
      </c>
      <c r="I1357" s="297" t="s">
        <v>1759</v>
      </c>
      <c r="J1357" s="297" t="s">
        <v>13596</v>
      </c>
      <c r="K1357" s="298" t="s">
        <v>16991</v>
      </c>
      <c r="L1357" s="298" t="s">
        <v>16992</v>
      </c>
      <c r="M1357" s="298" t="s">
        <v>16993</v>
      </c>
      <c r="N1357" s="298" t="s">
        <v>16994</v>
      </c>
      <c r="O1357" s="298" t="s">
        <v>15994</v>
      </c>
      <c r="P1357" s="299" t="s">
        <v>15857</v>
      </c>
      <c r="Q1357" s="300" t="s">
        <v>15855</v>
      </c>
      <c r="R1357" s="182" t="str">
        <f ca="1">IF(ISERROR($V1357),"",OFFSET('Smelter Look-up'!$C$4,$V1357-4,0)&amp;"")</f>
        <v/>
      </c>
      <c r="S1357" s="181" t="str">
        <f t="shared" ca="1" si="191"/>
        <v>CN</v>
      </c>
      <c r="T1357" s="181" t="str">
        <f ca="1">IF(B1357="","",IF(ISERROR(MATCH($J1357,SorP!$B$1:$B$6226,0)),"",INDIRECT("'SorP'!$A$"&amp;MATCH($S1357&amp;$J1357,SorP!C:C,0))))</f>
        <v>CN-JX</v>
      </c>
      <c r="U1357" s="201"/>
      <c r="V1357" s="226" t="e">
        <f>IF(C1357="",NA(),IF(OR(C1357="Smelter not listed",C1357="Smelter not yet identified"),MATCH($B1357&amp;$D1357,'Smelter Look-up'!$J:$J,0),MATCH($B1357&amp;$C1357,'Smelter Look-up'!$J:$J,0)))</f>
        <v>#N/A</v>
      </c>
      <c r="X1357" s="227">
        <f t="shared" si="192"/>
        <v>0</v>
      </c>
      <c r="AB1357" s="228" t="str">
        <f t="shared" si="193"/>
        <v>TungstenGanzhou Huaxing Tungsten Products Co., Ltd.</v>
      </c>
    </row>
    <row r="1358" spans="1:28" s="227" customFormat="1" ht="81">
      <c r="A1358" s="301" t="s">
        <v>16989</v>
      </c>
      <c r="B1358" s="293" t="s">
        <v>1122</v>
      </c>
      <c r="C1358" s="294" t="s">
        <v>16990</v>
      </c>
      <c r="D1358" s="295" t="s">
        <v>16990</v>
      </c>
      <c r="E1358" s="293" t="s">
        <v>1090</v>
      </c>
      <c r="F1358" s="293" t="s">
        <v>16989</v>
      </c>
      <c r="G1358" s="293" t="s">
        <v>13217</v>
      </c>
      <c r="H1358" s="302" t="s">
        <v>15880</v>
      </c>
      <c r="I1358" s="297" t="s">
        <v>1759</v>
      </c>
      <c r="J1358" s="297" t="s">
        <v>13596</v>
      </c>
      <c r="K1358" s="298" t="s">
        <v>15855</v>
      </c>
      <c r="L1358" s="298" t="s">
        <v>15855</v>
      </c>
      <c r="M1358" s="298" t="s">
        <v>15855</v>
      </c>
      <c r="N1358" s="298" t="s">
        <v>15855</v>
      </c>
      <c r="O1358" s="298" t="s">
        <v>15855</v>
      </c>
      <c r="P1358" s="299" t="s">
        <v>15857</v>
      </c>
      <c r="Q1358" s="300" t="s">
        <v>15855</v>
      </c>
      <c r="R1358" s="182" t="str">
        <f ca="1">IF(ISERROR($V1358),"",OFFSET('Smelter Look-up'!$C$4,$V1358-4,0)&amp;"")</f>
        <v/>
      </c>
      <c r="S1358" s="181" t="str">
        <f t="shared" ca="1" si="191"/>
        <v>CN</v>
      </c>
      <c r="T1358" s="181" t="str">
        <f ca="1">IF(B1358="","",IF(ISERROR(MATCH($J1358,SorP!$B$1:$B$6226,0)),"",INDIRECT("'SorP'!$A$"&amp;MATCH($S1358&amp;$J1358,SorP!C:C,0))))</f>
        <v>CN-JX</v>
      </c>
      <c r="U1358" s="201"/>
      <c r="V1358" s="226" t="e">
        <f>IF(C1358="",NA(),IF(OR(C1358="Smelter not listed",C1358="Smelter not yet identified"),MATCH($B1358&amp;$D1358,'Smelter Look-up'!$J:$J,0),MATCH($B1358&amp;$C1358,'Smelter Look-up'!$J:$J,0)))</f>
        <v>#N/A</v>
      </c>
      <c r="X1358" s="227">
        <f t="shared" si="192"/>
        <v>0</v>
      </c>
      <c r="AB1358" s="228" t="str">
        <f t="shared" si="193"/>
        <v>TungstenGanzhou Huaxing Tungsten Products Co., Ltd.</v>
      </c>
    </row>
    <row r="1359" spans="1:28" s="227" customFormat="1" ht="81">
      <c r="A1359" s="301" t="s">
        <v>137</v>
      </c>
      <c r="B1359" s="293" t="s">
        <v>1122</v>
      </c>
      <c r="C1359" s="294" t="s">
        <v>147</v>
      </c>
      <c r="D1359" s="295" t="s">
        <v>147</v>
      </c>
      <c r="E1359" s="293" t="s">
        <v>1090</v>
      </c>
      <c r="F1359" s="293" t="s">
        <v>137</v>
      </c>
      <c r="G1359" s="293" t="s">
        <v>13217</v>
      </c>
      <c r="H1359" s="296" t="s">
        <v>15855</v>
      </c>
      <c r="I1359" s="297" t="s">
        <v>1759</v>
      </c>
      <c r="J1359" s="297" t="s">
        <v>13596</v>
      </c>
      <c r="K1359" s="298" t="s">
        <v>15855</v>
      </c>
      <c r="L1359" s="298" t="s">
        <v>15855</v>
      </c>
      <c r="M1359" s="298" t="s">
        <v>15855</v>
      </c>
      <c r="N1359" s="298" t="s">
        <v>15855</v>
      </c>
      <c r="O1359" s="298" t="s">
        <v>15855</v>
      </c>
      <c r="P1359" s="299" t="s">
        <v>15857</v>
      </c>
      <c r="Q1359" s="300" t="s">
        <v>15855</v>
      </c>
      <c r="R1359" s="182" t="str">
        <f ca="1">IF(ISERROR($V1359),"",OFFSET('Smelter Look-up'!$C$4,$V1359-4,0)&amp;"")</f>
        <v>Ganzhou Jiangwu Ferrotungsten Co., Ltd.</v>
      </c>
      <c r="S1359" s="181" t="str">
        <f t="shared" ca="1" si="191"/>
        <v>CN</v>
      </c>
      <c r="T1359" s="181" t="str">
        <f ca="1">IF(B1359="","",IF(ISERROR(MATCH($J1359,SorP!$B$1:$B$6226,0)),"",INDIRECT("'SorP'!$A$"&amp;MATCH($S1359&amp;$J1359,SorP!C:C,0))))</f>
        <v>CN-JX</v>
      </c>
      <c r="U1359" s="201"/>
      <c r="V1359" s="226">
        <f>IF(C1359="",NA(),IF(OR(C1359="Smelter not listed",C1359="Smelter not yet identified"),MATCH($B1359&amp;$D1359,'Smelter Look-up'!$J:$J,0),MATCH($B1359&amp;$C1359,'Smelter Look-up'!$J:$J,0)))</f>
        <v>601</v>
      </c>
      <c r="X1359" s="227">
        <f t="shared" si="192"/>
        <v>0</v>
      </c>
      <c r="AB1359" s="228" t="str">
        <f t="shared" si="193"/>
        <v>TungstenGanzhou Jiangwu Ferrotungsten Co., Ltd.</v>
      </c>
    </row>
    <row r="1360" spans="1:28" s="227" customFormat="1" ht="81">
      <c r="A1360" s="301" t="s">
        <v>137</v>
      </c>
      <c r="B1360" s="293" t="s">
        <v>1122</v>
      </c>
      <c r="C1360" s="294" t="s">
        <v>147</v>
      </c>
      <c r="D1360" s="295" t="s">
        <v>147</v>
      </c>
      <c r="E1360" s="293" t="s">
        <v>1090</v>
      </c>
      <c r="F1360" s="293" t="s">
        <v>137</v>
      </c>
      <c r="G1360" s="293" t="s">
        <v>13217</v>
      </c>
      <c r="H1360" s="296" t="s">
        <v>15855</v>
      </c>
      <c r="I1360" s="297" t="s">
        <v>1759</v>
      </c>
      <c r="J1360" s="297" t="s">
        <v>13596</v>
      </c>
      <c r="K1360" s="298" t="s">
        <v>15855</v>
      </c>
      <c r="L1360" s="298" t="s">
        <v>15855</v>
      </c>
      <c r="M1360" s="298" t="s">
        <v>15855</v>
      </c>
      <c r="N1360" s="298" t="s">
        <v>15855</v>
      </c>
      <c r="O1360" s="298" t="s">
        <v>15925</v>
      </c>
      <c r="P1360" s="299" t="s">
        <v>15857</v>
      </c>
      <c r="Q1360" s="300" t="s">
        <v>15855</v>
      </c>
      <c r="R1360" s="182" t="str">
        <f ca="1">IF(ISERROR($V1360),"",OFFSET('Smelter Look-up'!$C$4,$V1360-4,0)&amp;"")</f>
        <v>Ganzhou Jiangwu Ferrotungsten Co., Ltd.</v>
      </c>
      <c r="S1360" s="181" t="str">
        <f t="shared" ca="1" si="191"/>
        <v>CN</v>
      </c>
      <c r="T1360" s="181" t="str">
        <f ca="1">IF(B1360="","",IF(ISERROR(MATCH($J1360,SorP!$B$1:$B$6226,0)),"",INDIRECT("'SorP'!$A$"&amp;MATCH($S1360&amp;$J1360,SorP!C:C,0))))</f>
        <v>CN-JX</v>
      </c>
      <c r="U1360" s="201"/>
      <c r="V1360" s="226">
        <f>IF(C1360="",NA(),IF(OR(C1360="Smelter not listed",C1360="Smelter not yet identified"),MATCH($B1360&amp;$D1360,'Smelter Look-up'!$J:$J,0),MATCH($B1360&amp;$C1360,'Smelter Look-up'!$J:$J,0)))</f>
        <v>601</v>
      </c>
      <c r="X1360" s="227">
        <f t="shared" si="192"/>
        <v>0</v>
      </c>
      <c r="AB1360" s="228" t="str">
        <f t="shared" si="193"/>
        <v>TungstenGanzhou Jiangwu Ferrotungsten Co., Ltd.</v>
      </c>
    </row>
    <row r="1361" spans="1:28" s="227" customFormat="1" ht="81">
      <c r="A1361" s="301" t="s">
        <v>137</v>
      </c>
      <c r="B1361" s="293" t="s">
        <v>1122</v>
      </c>
      <c r="C1361" s="294" t="s">
        <v>147</v>
      </c>
      <c r="D1361" s="295" t="s">
        <v>147</v>
      </c>
      <c r="E1361" s="293" t="s">
        <v>1090</v>
      </c>
      <c r="F1361" s="293" t="s">
        <v>137</v>
      </c>
      <c r="G1361" s="293" t="s">
        <v>13217</v>
      </c>
      <c r="H1361" s="296" t="s">
        <v>15855</v>
      </c>
      <c r="I1361" s="297" t="s">
        <v>1759</v>
      </c>
      <c r="J1361" s="297" t="s">
        <v>13596</v>
      </c>
      <c r="K1361" s="298" t="s">
        <v>16995</v>
      </c>
      <c r="L1361" s="298" t="s">
        <v>16996</v>
      </c>
      <c r="M1361" s="298" t="s">
        <v>16997</v>
      </c>
      <c r="N1361" s="298" t="s">
        <v>15870</v>
      </c>
      <c r="O1361" s="298" t="s">
        <v>15855</v>
      </c>
      <c r="P1361" s="299" t="s">
        <v>15857</v>
      </c>
      <c r="Q1361" s="300" t="s">
        <v>15855</v>
      </c>
      <c r="R1361" s="182" t="str">
        <f ca="1">IF(ISERROR($V1361),"",OFFSET('Smelter Look-up'!$C$4,$V1361-4,0)&amp;"")</f>
        <v>Ganzhou Jiangwu Ferrotungsten Co., Ltd.</v>
      </c>
      <c r="S1361" s="181" t="str">
        <f t="shared" ca="1" si="191"/>
        <v>CN</v>
      </c>
      <c r="T1361" s="181" t="str">
        <f ca="1">IF(B1361="","",IF(ISERROR(MATCH($J1361,SorP!$B$1:$B$6226,0)),"",INDIRECT("'SorP'!$A$"&amp;MATCH($S1361&amp;$J1361,SorP!C:C,0))))</f>
        <v>CN-JX</v>
      </c>
      <c r="U1361" s="201"/>
      <c r="V1361" s="226">
        <f>IF(C1361="",NA(),IF(OR(C1361="Smelter not listed",C1361="Smelter not yet identified"),MATCH($B1361&amp;$D1361,'Smelter Look-up'!$J:$J,0),MATCH($B1361&amp;$C1361,'Smelter Look-up'!$J:$J,0)))</f>
        <v>601</v>
      </c>
      <c r="X1361" s="227">
        <f t="shared" si="192"/>
        <v>0</v>
      </c>
      <c r="AB1361" s="228" t="str">
        <f t="shared" si="193"/>
        <v>TungstenGanzhou Jiangwu Ferrotungsten Co., Ltd.</v>
      </c>
    </row>
    <row r="1362" spans="1:28" s="227" customFormat="1" ht="81">
      <c r="A1362" s="301" t="s">
        <v>137</v>
      </c>
      <c r="B1362" s="293" t="s">
        <v>1122</v>
      </c>
      <c r="C1362" s="294" t="s">
        <v>147</v>
      </c>
      <c r="D1362" s="295" t="s">
        <v>147</v>
      </c>
      <c r="E1362" s="293" t="s">
        <v>1090</v>
      </c>
      <c r="F1362" s="293" t="s">
        <v>137</v>
      </c>
      <c r="G1362" s="293" t="s">
        <v>13217</v>
      </c>
      <c r="H1362" s="302" t="s">
        <v>15880</v>
      </c>
      <c r="I1362" s="297" t="s">
        <v>1759</v>
      </c>
      <c r="J1362" s="297" t="s">
        <v>13596</v>
      </c>
      <c r="K1362" s="298" t="s">
        <v>15855</v>
      </c>
      <c r="L1362" s="298" t="s">
        <v>15855</v>
      </c>
      <c r="M1362" s="298" t="s">
        <v>15855</v>
      </c>
      <c r="N1362" s="298" t="s">
        <v>15855</v>
      </c>
      <c r="O1362" s="298" t="s">
        <v>15855</v>
      </c>
      <c r="P1362" s="299" t="s">
        <v>15857</v>
      </c>
      <c r="Q1362" s="300" t="s">
        <v>15855</v>
      </c>
      <c r="R1362" s="182" t="str">
        <f ca="1">IF(ISERROR($V1362),"",OFFSET('Smelter Look-up'!$C$4,$V1362-4,0)&amp;"")</f>
        <v>Ganzhou Jiangwu Ferrotungsten Co., Ltd.</v>
      </c>
      <c r="S1362" s="181" t="str">
        <f t="shared" ca="1" si="191"/>
        <v>CN</v>
      </c>
      <c r="T1362" s="181" t="str">
        <f ca="1">IF(B1362="","",IF(ISERROR(MATCH($J1362,SorP!$B$1:$B$6226,0)),"",INDIRECT("'SorP'!$A$"&amp;MATCH($S1362&amp;$J1362,SorP!C:C,0))))</f>
        <v>CN-JX</v>
      </c>
      <c r="U1362" s="201"/>
      <c r="V1362" s="226">
        <f>IF(C1362="",NA(),IF(OR(C1362="Smelter not listed",C1362="Smelter not yet identified"),MATCH($B1362&amp;$D1362,'Smelter Look-up'!$J:$J,0),MATCH($B1362&amp;$C1362,'Smelter Look-up'!$J:$J,0)))</f>
        <v>601</v>
      </c>
      <c r="X1362" s="227">
        <f t="shared" si="192"/>
        <v>0</v>
      </c>
      <c r="AB1362" s="228" t="str">
        <f t="shared" si="193"/>
        <v>TungstenGanzhou Jiangwu Ferrotungsten Co., Ltd.</v>
      </c>
    </row>
    <row r="1363" spans="1:28" s="227" customFormat="1" ht="94.5">
      <c r="A1363" s="301" t="s">
        <v>16998</v>
      </c>
      <c r="B1363" s="293" t="s">
        <v>1122</v>
      </c>
      <c r="C1363" s="294" t="s">
        <v>16999</v>
      </c>
      <c r="D1363" s="295" t="s">
        <v>16999</v>
      </c>
      <c r="E1363" s="293" t="s">
        <v>1090</v>
      </c>
      <c r="F1363" s="293" t="s">
        <v>16998</v>
      </c>
      <c r="G1363" s="293" t="s">
        <v>15864</v>
      </c>
      <c r="H1363" s="296" t="s">
        <v>15855</v>
      </c>
      <c r="I1363" s="297" t="s">
        <v>1759</v>
      </c>
      <c r="J1363" s="297" t="s">
        <v>16629</v>
      </c>
      <c r="K1363" s="298" t="s">
        <v>15855</v>
      </c>
      <c r="L1363" s="298" t="s">
        <v>15855</v>
      </c>
      <c r="M1363" s="298" t="s">
        <v>15855</v>
      </c>
      <c r="N1363" s="298" t="s">
        <v>15855</v>
      </c>
      <c r="O1363" s="298" t="s">
        <v>15855</v>
      </c>
      <c r="P1363" s="299" t="s">
        <v>15857</v>
      </c>
      <c r="Q1363" s="300" t="s">
        <v>15855</v>
      </c>
      <c r="R1363" s="182" t="str">
        <f ca="1">IF(ISERROR($V1363),"",OFFSET('Smelter Look-up'!$C$4,$V1363-4,0)&amp;"")</f>
        <v/>
      </c>
      <c r="S1363" s="181" t="str">
        <f t="shared" ca="1" si="191"/>
        <v>CN</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si="192"/>
        <v>0</v>
      </c>
      <c r="AB1363" s="228" t="str">
        <f t="shared" si="193"/>
        <v>TungstenGanzhou Non-ferrous Metals Smelting Co., Ltd.</v>
      </c>
    </row>
    <row r="1364" spans="1:28" s="227" customFormat="1" ht="81">
      <c r="A1364" s="301" t="s">
        <v>389</v>
      </c>
      <c r="B1364" s="293" t="s">
        <v>1122</v>
      </c>
      <c r="C1364" s="294" t="s">
        <v>388</v>
      </c>
      <c r="D1364" s="295" t="s">
        <v>388</v>
      </c>
      <c r="E1364" s="293" t="s">
        <v>1090</v>
      </c>
      <c r="F1364" s="293" t="s">
        <v>389</v>
      </c>
      <c r="G1364" s="293" t="s">
        <v>13217</v>
      </c>
      <c r="H1364" s="296" t="s">
        <v>15855</v>
      </c>
      <c r="I1364" s="297" t="s">
        <v>1759</v>
      </c>
      <c r="J1364" s="297" t="s">
        <v>13596</v>
      </c>
      <c r="K1364" s="298" t="s">
        <v>15855</v>
      </c>
      <c r="L1364" s="298" t="s">
        <v>15855</v>
      </c>
      <c r="M1364" s="298" t="s">
        <v>15855</v>
      </c>
      <c r="N1364" s="298" t="s">
        <v>15855</v>
      </c>
      <c r="O1364" s="298" t="s">
        <v>15855</v>
      </c>
      <c r="P1364" s="299" t="s">
        <v>15857</v>
      </c>
      <c r="Q1364" s="300" t="s">
        <v>15855</v>
      </c>
      <c r="R1364" s="182" t="str">
        <f ca="1">IF(ISERROR($V1364),"",OFFSET('Smelter Look-up'!$C$4,$V1364-4,0)&amp;"")</f>
        <v>Ganzhou Seadragon W &amp; Mo Co., Ltd.</v>
      </c>
      <c r="S1364" s="181" t="str">
        <f t="shared" ca="1" si="191"/>
        <v>CN</v>
      </c>
      <c r="T1364" s="181" t="str">
        <f ca="1">IF(B1364="","",IF(ISERROR(MATCH($J1364,SorP!$B$1:$B$6226,0)),"",INDIRECT("'SorP'!$A$"&amp;MATCH($S1364&amp;$J1364,SorP!C:C,0))))</f>
        <v>CN-JX</v>
      </c>
      <c r="U1364" s="201"/>
      <c r="V1364" s="226">
        <f>IF(C1364="",NA(),IF(OR(C1364="Smelter not listed",C1364="Smelter not yet identified"),MATCH($B1364&amp;$D1364,'Smelter Look-up'!$J:$J,0),MATCH($B1364&amp;$C1364,'Smelter Look-up'!$J:$J,0)))</f>
        <v>602</v>
      </c>
      <c r="X1364" s="227">
        <f t="shared" si="192"/>
        <v>0</v>
      </c>
      <c r="AB1364" s="228" t="str">
        <f t="shared" si="193"/>
        <v>TungstenGanzhou Seadragon W &amp; Mo Co., Ltd.</v>
      </c>
    </row>
    <row r="1365" spans="1:28" s="227" customFormat="1" ht="81">
      <c r="A1365" s="301" t="s">
        <v>389</v>
      </c>
      <c r="B1365" s="293" t="s">
        <v>1122</v>
      </c>
      <c r="C1365" s="294" t="s">
        <v>388</v>
      </c>
      <c r="D1365" s="295" t="s">
        <v>388</v>
      </c>
      <c r="E1365" s="293" t="s">
        <v>1090</v>
      </c>
      <c r="F1365" s="293" t="s">
        <v>389</v>
      </c>
      <c r="G1365" s="293" t="s">
        <v>13217</v>
      </c>
      <c r="H1365" s="296" t="s">
        <v>15855</v>
      </c>
      <c r="I1365" s="297" t="s">
        <v>1759</v>
      </c>
      <c r="J1365" s="297" t="s">
        <v>13596</v>
      </c>
      <c r="K1365" s="298" t="s">
        <v>15855</v>
      </c>
      <c r="L1365" s="298" t="s">
        <v>15855</v>
      </c>
      <c r="M1365" s="298" t="s">
        <v>15855</v>
      </c>
      <c r="N1365" s="298" t="s">
        <v>15855</v>
      </c>
      <c r="O1365" s="298" t="s">
        <v>16125</v>
      </c>
      <c r="P1365" s="299" t="s">
        <v>15857</v>
      </c>
      <c r="Q1365" s="300" t="s">
        <v>15855</v>
      </c>
      <c r="R1365" s="182" t="str">
        <f ca="1">IF(ISERROR($V1365),"",OFFSET('Smelter Look-up'!$C$4,$V1365-4,0)&amp;"")</f>
        <v>Ganzhou Seadragon W &amp; Mo Co., Ltd.</v>
      </c>
      <c r="S1365" s="181" t="str">
        <f t="shared" ca="1" si="191"/>
        <v>CN</v>
      </c>
      <c r="T1365" s="181" t="str">
        <f ca="1">IF(B1365="","",IF(ISERROR(MATCH($J1365,SorP!$B$1:$B$6226,0)),"",INDIRECT("'SorP'!$A$"&amp;MATCH($S1365&amp;$J1365,SorP!C:C,0))))</f>
        <v>CN-JX</v>
      </c>
      <c r="U1365" s="201"/>
      <c r="V1365" s="226">
        <f>IF(C1365="",NA(),IF(OR(C1365="Smelter not listed",C1365="Smelter not yet identified"),MATCH($B1365&amp;$D1365,'Smelter Look-up'!$J:$J,0),MATCH($B1365&amp;$C1365,'Smelter Look-up'!$J:$J,0)))</f>
        <v>602</v>
      </c>
      <c r="X1365" s="227">
        <f t="shared" si="192"/>
        <v>0</v>
      </c>
      <c r="AB1365" s="228" t="str">
        <f t="shared" si="193"/>
        <v>TungstenGanzhou Seadragon W &amp; Mo Co., Ltd.</v>
      </c>
    </row>
    <row r="1366" spans="1:28" s="227" customFormat="1" ht="81">
      <c r="A1366" s="301" t="s">
        <v>389</v>
      </c>
      <c r="B1366" s="293" t="s">
        <v>1122</v>
      </c>
      <c r="C1366" s="294" t="s">
        <v>388</v>
      </c>
      <c r="D1366" s="295" t="s">
        <v>388</v>
      </c>
      <c r="E1366" s="293" t="s">
        <v>1090</v>
      </c>
      <c r="F1366" s="293" t="s">
        <v>389</v>
      </c>
      <c r="G1366" s="293" t="s">
        <v>13217</v>
      </c>
      <c r="H1366" s="296" t="s">
        <v>15855</v>
      </c>
      <c r="I1366" s="297" t="s">
        <v>1759</v>
      </c>
      <c r="J1366" s="297" t="s">
        <v>13596</v>
      </c>
      <c r="K1366" s="298" t="s">
        <v>17000</v>
      </c>
      <c r="L1366" s="298" t="s">
        <v>17001</v>
      </c>
      <c r="M1366" s="298" t="s">
        <v>17002</v>
      </c>
      <c r="N1366" s="298" t="s">
        <v>17003</v>
      </c>
      <c r="O1366" s="298" t="s">
        <v>15994</v>
      </c>
      <c r="P1366" s="299" t="s">
        <v>15857</v>
      </c>
      <c r="Q1366" s="300" t="s">
        <v>15855</v>
      </c>
      <c r="R1366" s="182" t="str">
        <f ca="1">IF(ISERROR($V1366),"",OFFSET('Smelter Look-up'!$C$4,$V1366-4,0)&amp;"")</f>
        <v>Ganzhou Seadragon W &amp; Mo Co., Ltd.</v>
      </c>
      <c r="S1366" s="181" t="str">
        <f t="shared" ca="1" si="191"/>
        <v>CN</v>
      </c>
      <c r="T1366" s="181" t="str">
        <f ca="1">IF(B1366="","",IF(ISERROR(MATCH($J1366,SorP!$B$1:$B$6226,0)),"",INDIRECT("'SorP'!$A$"&amp;MATCH($S1366&amp;$J1366,SorP!C:C,0))))</f>
        <v>CN-JX</v>
      </c>
      <c r="U1366" s="201"/>
      <c r="V1366" s="226">
        <f>IF(C1366="",NA(),IF(OR(C1366="Smelter not listed",C1366="Smelter not yet identified"),MATCH($B1366&amp;$D1366,'Smelter Look-up'!$J:$J,0),MATCH($B1366&amp;$C1366,'Smelter Look-up'!$J:$J,0)))</f>
        <v>602</v>
      </c>
      <c r="X1366" s="227">
        <f t="shared" si="192"/>
        <v>0</v>
      </c>
      <c r="AB1366" s="228" t="str">
        <f t="shared" si="193"/>
        <v>TungstenGanzhou Seadragon W &amp; Mo Co., Ltd.</v>
      </c>
    </row>
    <row r="1367" spans="1:28" s="227" customFormat="1" ht="81">
      <c r="A1367" s="301" t="s">
        <v>389</v>
      </c>
      <c r="B1367" s="293" t="s">
        <v>1122</v>
      </c>
      <c r="C1367" s="294" t="s">
        <v>388</v>
      </c>
      <c r="D1367" s="295" t="s">
        <v>388</v>
      </c>
      <c r="E1367" s="293" t="s">
        <v>1090</v>
      </c>
      <c r="F1367" s="293" t="s">
        <v>389</v>
      </c>
      <c r="G1367" s="293" t="s">
        <v>13217</v>
      </c>
      <c r="H1367" s="302" t="s">
        <v>15880</v>
      </c>
      <c r="I1367" s="297" t="s">
        <v>1759</v>
      </c>
      <c r="J1367" s="297" t="s">
        <v>16629</v>
      </c>
      <c r="K1367" s="298" t="s">
        <v>15855</v>
      </c>
      <c r="L1367" s="298" t="s">
        <v>15855</v>
      </c>
      <c r="M1367" s="298" t="s">
        <v>15855</v>
      </c>
      <c r="N1367" s="298" t="s">
        <v>15855</v>
      </c>
      <c r="O1367" s="298" t="s">
        <v>15855</v>
      </c>
      <c r="P1367" s="299" t="s">
        <v>15857</v>
      </c>
      <c r="Q1367" s="300" t="s">
        <v>15855</v>
      </c>
      <c r="R1367" s="182" t="str">
        <f ca="1">IF(ISERROR($V1367),"",OFFSET('Smelter Look-up'!$C$4,$V1367-4,0)&amp;"")</f>
        <v>Ganzhou Seadragon W &amp; Mo Co., Ltd.</v>
      </c>
      <c r="S1367" s="181" t="str">
        <f t="shared" ca="1" si="191"/>
        <v>CN</v>
      </c>
      <c r="T1367" s="181" t="str">
        <f ca="1">IF(B1367="","",IF(ISERROR(MATCH($J1367,SorP!$B$1:$B$6226,0)),"",INDIRECT("'SorP'!$A$"&amp;MATCH($S1367&amp;$J1367,SorP!C:C,0))))</f>
        <v/>
      </c>
      <c r="U1367" s="201"/>
      <c r="V1367" s="226">
        <f>IF(C1367="",NA(),IF(OR(C1367="Smelter not listed",C1367="Smelter not yet identified"),MATCH($B1367&amp;$D1367,'Smelter Look-up'!$J:$J,0),MATCH($B1367&amp;$C1367,'Smelter Look-up'!$J:$J,0)))</f>
        <v>602</v>
      </c>
      <c r="X1367" s="227">
        <f t="shared" si="192"/>
        <v>0</v>
      </c>
      <c r="AB1367" s="228" t="str">
        <f t="shared" si="193"/>
        <v>TungstenGanzhou Seadragon W &amp; Mo Co., Ltd.</v>
      </c>
    </row>
    <row r="1368" spans="1:28" s="227" customFormat="1" ht="81">
      <c r="A1368" s="301" t="s">
        <v>389</v>
      </c>
      <c r="B1368" s="293" t="s">
        <v>1122</v>
      </c>
      <c r="C1368" s="294" t="s">
        <v>388</v>
      </c>
      <c r="D1368" s="295" t="s">
        <v>388</v>
      </c>
      <c r="E1368" s="293" t="s">
        <v>1090</v>
      </c>
      <c r="F1368" s="293" t="s">
        <v>389</v>
      </c>
      <c r="G1368" s="293" t="s">
        <v>13217</v>
      </c>
      <c r="H1368" s="302" t="s">
        <v>15880</v>
      </c>
      <c r="I1368" s="297" t="s">
        <v>1759</v>
      </c>
      <c r="J1368" s="297" t="s">
        <v>13596</v>
      </c>
      <c r="K1368" s="298" t="s">
        <v>15855</v>
      </c>
      <c r="L1368" s="298" t="s">
        <v>15855</v>
      </c>
      <c r="M1368" s="298" t="s">
        <v>15855</v>
      </c>
      <c r="N1368" s="298" t="s">
        <v>15855</v>
      </c>
      <c r="O1368" s="298" t="s">
        <v>15855</v>
      </c>
      <c r="P1368" s="299" t="s">
        <v>15857</v>
      </c>
      <c r="Q1368" s="300" t="s">
        <v>15855</v>
      </c>
      <c r="R1368" s="182" t="str">
        <f ca="1">IF(ISERROR($V1368),"",OFFSET('Smelter Look-up'!$C$4,$V1368-4,0)&amp;"")</f>
        <v>Ganzhou Seadragon W &amp; Mo Co., Ltd.</v>
      </c>
      <c r="S1368" s="181" t="str">
        <f t="shared" ca="1" si="191"/>
        <v>CN</v>
      </c>
      <c r="T1368" s="181" t="str">
        <f ca="1">IF(B1368="","",IF(ISERROR(MATCH($J1368,SorP!$B$1:$B$6226,0)),"",INDIRECT("'SorP'!$A$"&amp;MATCH($S1368&amp;$J1368,SorP!C:C,0))))</f>
        <v>CN-JX</v>
      </c>
      <c r="U1368" s="201"/>
      <c r="V1368" s="226">
        <f>IF(C1368="",NA(),IF(OR(C1368="Smelter not listed",C1368="Smelter not yet identified"),MATCH($B1368&amp;$D1368,'Smelter Look-up'!$J:$J,0),MATCH($B1368&amp;$C1368,'Smelter Look-up'!$J:$J,0)))</f>
        <v>602</v>
      </c>
      <c r="X1368" s="227">
        <f t="shared" si="192"/>
        <v>0</v>
      </c>
      <c r="AB1368" s="228" t="str">
        <f t="shared" si="193"/>
        <v>TungstenGanzhou Seadragon W &amp; Mo Co., Ltd.</v>
      </c>
    </row>
    <row r="1369" spans="1:28" s="227" customFormat="1" ht="81">
      <c r="A1369" s="301" t="s">
        <v>389</v>
      </c>
      <c r="B1369" s="293" t="s">
        <v>1122</v>
      </c>
      <c r="C1369" s="294" t="s">
        <v>388</v>
      </c>
      <c r="D1369" s="295" t="s">
        <v>388</v>
      </c>
      <c r="E1369" s="293" t="s">
        <v>1090</v>
      </c>
      <c r="F1369" s="293" t="s">
        <v>389</v>
      </c>
      <c r="G1369" s="293" t="s">
        <v>13217</v>
      </c>
      <c r="H1369" s="296" t="s">
        <v>17004</v>
      </c>
      <c r="I1369" s="297" t="s">
        <v>1759</v>
      </c>
      <c r="J1369" s="297" t="s">
        <v>16629</v>
      </c>
      <c r="K1369" s="298" t="s">
        <v>17000</v>
      </c>
      <c r="L1369" s="298" t="s">
        <v>17005</v>
      </c>
      <c r="M1369" s="298" t="s">
        <v>15855</v>
      </c>
      <c r="N1369" s="298" t="s">
        <v>17006</v>
      </c>
      <c r="O1369" s="298" t="s">
        <v>15989</v>
      </c>
      <c r="P1369" s="299" t="s">
        <v>15857</v>
      </c>
      <c r="Q1369" s="300" t="s">
        <v>15855</v>
      </c>
      <c r="R1369" s="182" t="str">
        <f ca="1">IF(ISERROR($V1369),"",OFFSET('Smelter Look-up'!$C$4,$V1369-4,0)&amp;"")</f>
        <v>Ganzhou Seadragon W &amp; Mo Co., Ltd.</v>
      </c>
      <c r="S1369" s="181" t="str">
        <f t="shared" ca="1" si="191"/>
        <v>CN</v>
      </c>
      <c r="T1369" s="181" t="str">
        <f ca="1">IF(B1369="","",IF(ISERROR(MATCH($J1369,SorP!$B$1:$B$6226,0)),"",INDIRECT("'SorP'!$A$"&amp;MATCH($S1369&amp;$J1369,SorP!C:C,0))))</f>
        <v/>
      </c>
      <c r="U1369" s="201"/>
      <c r="V1369" s="226">
        <f>IF(C1369="",NA(),IF(OR(C1369="Smelter not listed",C1369="Smelter not yet identified"),MATCH($B1369&amp;$D1369,'Smelter Look-up'!$J:$J,0),MATCH($B1369&amp;$C1369,'Smelter Look-up'!$J:$J,0)))</f>
        <v>602</v>
      </c>
      <c r="X1369" s="227">
        <f t="shared" si="192"/>
        <v>0</v>
      </c>
      <c r="AB1369" s="228" t="str">
        <f t="shared" si="193"/>
        <v>TungstenGanzhou Seadragon W &amp; Mo Co., Ltd.</v>
      </c>
    </row>
    <row r="1370" spans="1:28" s="227" customFormat="1" ht="81">
      <c r="A1370" s="301" t="s">
        <v>389</v>
      </c>
      <c r="B1370" s="293" t="s">
        <v>1122</v>
      </c>
      <c r="C1370" s="294" t="s">
        <v>388</v>
      </c>
      <c r="D1370" s="295" t="s">
        <v>388</v>
      </c>
      <c r="E1370" s="293" t="s">
        <v>1090</v>
      </c>
      <c r="F1370" s="293" t="s">
        <v>389</v>
      </c>
      <c r="G1370" s="293" t="s">
        <v>13217</v>
      </c>
      <c r="H1370" s="296" t="s">
        <v>17007</v>
      </c>
      <c r="I1370" s="297" t="s">
        <v>1759</v>
      </c>
      <c r="J1370" s="297" t="s">
        <v>13596</v>
      </c>
      <c r="K1370" s="298" t="s">
        <v>17008</v>
      </c>
      <c r="L1370" s="298" t="s">
        <v>17009</v>
      </c>
      <c r="M1370" s="298" t="s">
        <v>17010</v>
      </c>
      <c r="N1370" s="298" t="s">
        <v>17011</v>
      </c>
      <c r="O1370" s="298" t="s">
        <v>1090</v>
      </c>
      <c r="P1370" s="299" t="s">
        <v>15857</v>
      </c>
      <c r="Q1370" s="300" t="s">
        <v>17012</v>
      </c>
      <c r="R1370" s="182" t="str">
        <f ca="1">IF(ISERROR($V1370),"",OFFSET('Smelter Look-up'!$C$4,$V1370-4,0)&amp;"")</f>
        <v>Ganzhou Seadragon W &amp; Mo Co., Ltd.</v>
      </c>
      <c r="S1370" s="181" t="str">
        <f t="shared" ca="1" si="191"/>
        <v>CN</v>
      </c>
      <c r="T1370" s="181" t="str">
        <f ca="1">IF(B1370="","",IF(ISERROR(MATCH($J1370,SorP!$B$1:$B$6226,0)),"",INDIRECT("'SorP'!$A$"&amp;MATCH($S1370&amp;$J1370,SorP!C:C,0))))</f>
        <v>CN-JX</v>
      </c>
      <c r="U1370" s="201"/>
      <c r="V1370" s="226">
        <f>IF(C1370="",NA(),IF(OR(C1370="Smelter not listed",C1370="Smelter not yet identified"),MATCH($B1370&amp;$D1370,'Smelter Look-up'!$J:$J,0),MATCH($B1370&amp;$C1370,'Smelter Look-up'!$J:$J,0)))</f>
        <v>602</v>
      </c>
      <c r="X1370" s="227">
        <f t="shared" si="192"/>
        <v>0</v>
      </c>
      <c r="AB1370" s="228" t="str">
        <f t="shared" si="193"/>
        <v>TungstenGanzhou Seadragon W &amp; Mo Co., Ltd.</v>
      </c>
    </row>
    <row r="1371" spans="1:28" s="227" customFormat="1" ht="81">
      <c r="A1371" s="301" t="s">
        <v>787</v>
      </c>
      <c r="B1371" s="293" t="s">
        <v>1122</v>
      </c>
      <c r="C1371" s="294" t="s">
        <v>17013</v>
      </c>
      <c r="D1371" s="295" t="s">
        <v>17013</v>
      </c>
      <c r="E1371" s="293" t="s">
        <v>2415</v>
      </c>
      <c r="F1371" s="293" t="s">
        <v>787</v>
      </c>
      <c r="G1371" s="293" t="s">
        <v>13217</v>
      </c>
      <c r="H1371" s="296" t="s">
        <v>15855</v>
      </c>
      <c r="I1371" s="297" t="s">
        <v>1812</v>
      </c>
      <c r="J1371" s="297" t="s">
        <v>1725</v>
      </c>
      <c r="K1371" s="298" t="s">
        <v>15855</v>
      </c>
      <c r="L1371" s="298" t="s">
        <v>15855</v>
      </c>
      <c r="M1371" s="298" t="s">
        <v>15855</v>
      </c>
      <c r="N1371" s="298" t="s">
        <v>15855</v>
      </c>
      <c r="O1371" s="298" t="s">
        <v>15855</v>
      </c>
      <c r="P1371" s="299" t="s">
        <v>15857</v>
      </c>
      <c r="Q1371" s="300" t="s">
        <v>15855</v>
      </c>
      <c r="R1371" s="182" t="str">
        <f ca="1">IF(ISERROR($V1371),"",OFFSET('Smelter Look-up'!$C$4,$V1371-4,0)&amp;"")</f>
        <v/>
      </c>
      <c r="S1371" s="181" t="str">
        <f t="shared" ca="1" si="191"/>
        <v>US</v>
      </c>
      <c r="T1371" s="181" t="str">
        <f ca="1">IF(B1371="","",IF(ISERROR(MATCH($J1371,SorP!$B$1:$B$6226,0)),"",INDIRECT("'SorP'!$A$"&amp;MATCH($S1371&amp;$J1371,SorP!C:C,0))))</f>
        <v>US-PA</v>
      </c>
      <c r="U1371" s="201"/>
      <c r="V1371" s="226" t="e">
        <f>IF(C1371="",NA(),IF(OR(C1371="Smelter not listed",C1371="Smelter not yet identified"),MATCH($B1371&amp;$D1371,'Smelter Look-up'!$J:$J,0),MATCH($B1371&amp;$C1371,'Smelter Look-up'!$J:$J,0)))</f>
        <v>#N/A</v>
      </c>
      <c r="X1371" s="227">
        <f t="shared" si="192"/>
        <v>0</v>
      </c>
      <c r="AB1371" s="228" t="str">
        <f t="shared" si="193"/>
        <v>TungstenGlobal Tungsten &amp; Powders Corp.</v>
      </c>
    </row>
    <row r="1372" spans="1:28" s="227" customFormat="1" ht="81">
      <c r="A1372" s="301" t="s">
        <v>787</v>
      </c>
      <c r="B1372" s="293" t="s">
        <v>1122</v>
      </c>
      <c r="C1372" s="294" t="s">
        <v>17013</v>
      </c>
      <c r="D1372" s="295" t="s">
        <v>17013</v>
      </c>
      <c r="E1372" s="293" t="s">
        <v>2415</v>
      </c>
      <c r="F1372" s="293" t="s">
        <v>787</v>
      </c>
      <c r="G1372" s="293" t="s">
        <v>13217</v>
      </c>
      <c r="H1372" s="296" t="s">
        <v>15855</v>
      </c>
      <c r="I1372" s="297" t="s">
        <v>1812</v>
      </c>
      <c r="J1372" s="297" t="s">
        <v>1725</v>
      </c>
      <c r="K1372" s="298" t="s">
        <v>15855</v>
      </c>
      <c r="L1372" s="298" t="s">
        <v>15855</v>
      </c>
      <c r="M1372" s="298" t="s">
        <v>15855</v>
      </c>
      <c r="N1372" s="298" t="s">
        <v>15855</v>
      </c>
      <c r="O1372" s="298" t="s">
        <v>15855</v>
      </c>
      <c r="P1372" s="299" t="s">
        <v>15857</v>
      </c>
      <c r="Q1372" s="300" t="s">
        <v>16531</v>
      </c>
      <c r="R1372" s="182" t="str">
        <f ca="1">IF(ISERROR($V1372),"",OFFSET('Smelter Look-up'!$C$4,$V1372-4,0)&amp;"")</f>
        <v/>
      </c>
      <c r="S1372" s="181" t="str">
        <f t="shared" ref="S1372:S1402" ca="1" si="194">IF(B1372="","",IF(ISERROR(MATCH($E1372,CL,0)),"Unknown",INDIRECT("'C'!$A$"&amp;MATCH($E1372,CL,0)+1)))</f>
        <v>US</v>
      </c>
      <c r="T1372" s="181" t="str">
        <f ca="1">IF(B1372="","",IF(ISERROR(MATCH($J1372,SorP!$B$1:$B$6226,0)),"",INDIRECT("'SorP'!$A$"&amp;MATCH($S1372&amp;$J1372,SorP!C:C,0))))</f>
        <v>US-PA</v>
      </c>
      <c r="U1372" s="201"/>
      <c r="V1372" s="226" t="e">
        <f>IF(C1372="",NA(),IF(OR(C1372="Smelter not listed",C1372="Smelter not yet identified"),MATCH($B1372&amp;$D1372,'Smelter Look-up'!$J:$J,0),MATCH($B1372&amp;$C1372,'Smelter Look-up'!$J:$J,0)))</f>
        <v>#N/A</v>
      </c>
      <c r="X1372" s="227">
        <f t="shared" ref="X1372:X1402" si="195">IF(AND(C1372="Smelter not listed",OR(LEN(D1372)=0,LEN(E1372)=0)),1,0)</f>
        <v>0</v>
      </c>
      <c r="AB1372" s="228" t="str">
        <f t="shared" ref="AB1372:AB1402" si="196">B1372&amp;C1372</f>
        <v>TungstenGlobal Tungsten &amp; Powders Corp.</v>
      </c>
    </row>
    <row r="1373" spans="1:28" s="227" customFormat="1" ht="81">
      <c r="A1373" s="301" t="s">
        <v>787</v>
      </c>
      <c r="B1373" s="293" t="s">
        <v>1122</v>
      </c>
      <c r="C1373" s="294" t="s">
        <v>17013</v>
      </c>
      <c r="D1373" s="295" t="s">
        <v>17013</v>
      </c>
      <c r="E1373" s="293" t="s">
        <v>2415</v>
      </c>
      <c r="F1373" s="293" t="s">
        <v>787</v>
      </c>
      <c r="G1373" s="293" t="s">
        <v>13217</v>
      </c>
      <c r="H1373" s="296" t="s">
        <v>15855</v>
      </c>
      <c r="I1373" s="297" t="s">
        <v>1812</v>
      </c>
      <c r="J1373" s="297" t="s">
        <v>1725</v>
      </c>
      <c r="K1373" s="298" t="s">
        <v>15855</v>
      </c>
      <c r="L1373" s="298" t="s">
        <v>15855</v>
      </c>
      <c r="M1373" s="298" t="s">
        <v>15855</v>
      </c>
      <c r="N1373" s="298" t="s">
        <v>15855</v>
      </c>
      <c r="O1373" s="298" t="s">
        <v>16465</v>
      </c>
      <c r="P1373" s="299" t="s">
        <v>15857</v>
      </c>
      <c r="Q1373" s="300" t="s">
        <v>17014</v>
      </c>
      <c r="R1373" s="182" t="str">
        <f ca="1">IF(ISERROR($V1373),"",OFFSET('Smelter Look-up'!$C$4,$V1373-4,0)&amp;"")</f>
        <v/>
      </c>
      <c r="S1373" s="181" t="str">
        <f t="shared" ca="1" si="194"/>
        <v>US</v>
      </c>
      <c r="T1373" s="181" t="str">
        <f ca="1">IF(B1373="","",IF(ISERROR(MATCH($J1373,SorP!$B$1:$B$6226,0)),"",INDIRECT("'SorP'!$A$"&amp;MATCH($S1373&amp;$J1373,SorP!C:C,0))))</f>
        <v>US-PA</v>
      </c>
      <c r="U1373" s="201"/>
      <c r="V1373" s="226" t="e">
        <f>IF(C1373="",NA(),IF(OR(C1373="Smelter not listed",C1373="Smelter not yet identified"),MATCH($B1373&amp;$D1373,'Smelter Look-up'!$J:$J,0),MATCH($B1373&amp;$C1373,'Smelter Look-up'!$J:$J,0)))</f>
        <v>#N/A</v>
      </c>
      <c r="X1373" s="227">
        <f t="shared" si="195"/>
        <v>0</v>
      </c>
      <c r="AB1373" s="228" t="str">
        <f t="shared" si="196"/>
        <v>TungstenGlobal Tungsten &amp; Powders Corp.</v>
      </c>
    </row>
    <row r="1374" spans="1:28" s="227" customFormat="1" ht="81">
      <c r="A1374" s="301" t="s">
        <v>787</v>
      </c>
      <c r="B1374" s="293" t="s">
        <v>1122</v>
      </c>
      <c r="C1374" s="294" t="s">
        <v>17013</v>
      </c>
      <c r="D1374" s="295" t="s">
        <v>17013</v>
      </c>
      <c r="E1374" s="293" t="s">
        <v>2415</v>
      </c>
      <c r="F1374" s="293" t="s">
        <v>787</v>
      </c>
      <c r="G1374" s="293" t="s">
        <v>13217</v>
      </c>
      <c r="H1374" s="296" t="s">
        <v>15855</v>
      </c>
      <c r="I1374" s="297" t="s">
        <v>1812</v>
      </c>
      <c r="J1374" s="297" t="s">
        <v>1725</v>
      </c>
      <c r="K1374" s="298" t="s">
        <v>17015</v>
      </c>
      <c r="L1374" s="298" t="s">
        <v>17016</v>
      </c>
      <c r="M1374" s="298" t="s">
        <v>15892</v>
      </c>
      <c r="N1374" s="298" t="s">
        <v>17017</v>
      </c>
      <c r="O1374" s="298" t="s">
        <v>17018</v>
      </c>
      <c r="P1374" s="299" t="s">
        <v>15857</v>
      </c>
      <c r="Q1374" s="300" t="s">
        <v>15855</v>
      </c>
      <c r="R1374" s="182" t="str">
        <f ca="1">IF(ISERROR($V1374),"",OFFSET('Smelter Look-up'!$C$4,$V1374-4,0)&amp;"")</f>
        <v/>
      </c>
      <c r="S1374" s="181" t="str">
        <f t="shared" ca="1" si="194"/>
        <v>US</v>
      </c>
      <c r="T1374" s="181" t="str">
        <f ca="1">IF(B1374="","",IF(ISERROR(MATCH($J1374,SorP!$B$1:$B$6226,0)),"",INDIRECT("'SorP'!$A$"&amp;MATCH($S1374&amp;$J1374,SorP!C:C,0))))</f>
        <v>US-PA</v>
      </c>
      <c r="U1374" s="201"/>
      <c r="V1374" s="226" t="e">
        <f>IF(C1374="",NA(),IF(OR(C1374="Smelter not listed",C1374="Smelter not yet identified"),MATCH($B1374&amp;$D1374,'Smelter Look-up'!$J:$J,0),MATCH($B1374&amp;$C1374,'Smelter Look-up'!$J:$J,0)))</f>
        <v>#N/A</v>
      </c>
      <c r="X1374" s="227">
        <f t="shared" si="195"/>
        <v>0</v>
      </c>
      <c r="AB1374" s="228" t="str">
        <f t="shared" si="196"/>
        <v>TungstenGlobal Tungsten &amp; Powders Corp.</v>
      </c>
    </row>
    <row r="1375" spans="1:28" s="227" customFormat="1" ht="81">
      <c r="A1375" s="301" t="s">
        <v>787</v>
      </c>
      <c r="B1375" s="293" t="s">
        <v>1122</v>
      </c>
      <c r="C1375" s="294" t="s">
        <v>17013</v>
      </c>
      <c r="D1375" s="295" t="s">
        <v>17013</v>
      </c>
      <c r="E1375" s="293" t="s">
        <v>2415</v>
      </c>
      <c r="F1375" s="293" t="s">
        <v>787</v>
      </c>
      <c r="G1375" s="293" t="s">
        <v>13217</v>
      </c>
      <c r="H1375" s="302" t="s">
        <v>15880</v>
      </c>
      <c r="I1375" s="297" t="s">
        <v>1812</v>
      </c>
      <c r="J1375" s="297" t="s">
        <v>1725</v>
      </c>
      <c r="K1375" s="298" t="s">
        <v>15855</v>
      </c>
      <c r="L1375" s="298" t="s">
        <v>15855</v>
      </c>
      <c r="M1375" s="298" t="s">
        <v>15855</v>
      </c>
      <c r="N1375" s="298" t="s">
        <v>15855</v>
      </c>
      <c r="O1375" s="298" t="s">
        <v>15855</v>
      </c>
      <c r="P1375" s="299" t="s">
        <v>15857</v>
      </c>
      <c r="Q1375" s="300" t="s">
        <v>15855</v>
      </c>
      <c r="R1375" s="182" t="str">
        <f ca="1">IF(ISERROR($V1375),"",OFFSET('Smelter Look-up'!$C$4,$V1375-4,0)&amp;"")</f>
        <v/>
      </c>
      <c r="S1375" s="181" t="str">
        <f t="shared" ca="1" si="194"/>
        <v>US</v>
      </c>
      <c r="T1375" s="181" t="str">
        <f ca="1">IF(B1375="","",IF(ISERROR(MATCH($J1375,SorP!$B$1:$B$6226,0)),"",INDIRECT("'SorP'!$A$"&amp;MATCH($S1375&amp;$J1375,SorP!C:C,0))))</f>
        <v>US-PA</v>
      </c>
      <c r="U1375" s="201"/>
      <c r="V1375" s="226" t="e">
        <f>IF(C1375="",NA(),IF(OR(C1375="Smelter not listed",C1375="Smelter not yet identified"),MATCH($B1375&amp;$D1375,'Smelter Look-up'!$J:$J,0),MATCH($B1375&amp;$C1375,'Smelter Look-up'!$J:$J,0)))</f>
        <v>#N/A</v>
      </c>
      <c r="X1375" s="227">
        <f t="shared" si="195"/>
        <v>0</v>
      </c>
      <c r="AB1375" s="228" t="str">
        <f t="shared" si="196"/>
        <v>TungstenGlobal Tungsten &amp; Powders Corp.</v>
      </c>
    </row>
    <row r="1376" spans="1:28" s="227" customFormat="1" ht="81">
      <c r="A1376" s="301" t="s">
        <v>787</v>
      </c>
      <c r="B1376" s="293" t="s">
        <v>1122</v>
      </c>
      <c r="C1376" s="294" t="s">
        <v>15833</v>
      </c>
      <c r="D1376" s="295" t="s">
        <v>17013</v>
      </c>
      <c r="E1376" s="293" t="s">
        <v>2415</v>
      </c>
      <c r="F1376" s="293" t="s">
        <v>787</v>
      </c>
      <c r="G1376" s="293" t="s">
        <v>13217</v>
      </c>
      <c r="H1376" s="296" t="s">
        <v>15855</v>
      </c>
      <c r="I1376" s="297" t="s">
        <v>1812</v>
      </c>
      <c r="J1376" s="297" t="s">
        <v>1725</v>
      </c>
      <c r="K1376" s="298" t="s">
        <v>15855</v>
      </c>
      <c r="L1376" s="298" t="s">
        <v>15855</v>
      </c>
      <c r="M1376" s="298" t="s">
        <v>15855</v>
      </c>
      <c r="N1376" s="298" t="s">
        <v>15855</v>
      </c>
      <c r="O1376" s="298" t="s">
        <v>15925</v>
      </c>
      <c r="P1376" s="299" t="s">
        <v>15857</v>
      </c>
      <c r="Q1376" s="300" t="s">
        <v>15855</v>
      </c>
      <c r="R1376" s="182" t="str">
        <f ca="1">IF(ISERROR($V1376),"",OFFSET('Smelter Look-up'!$C$4,$V1376-4,0)&amp;"")</f>
        <v>Global Tungsten &amp; Powders LLC</v>
      </c>
      <c r="S1376" s="181" t="str">
        <f t="shared" ca="1" si="194"/>
        <v>US</v>
      </c>
      <c r="T1376" s="181" t="str">
        <f ca="1">IF(B1376="","",IF(ISERROR(MATCH($J1376,SorP!$B$1:$B$6226,0)),"",INDIRECT("'SorP'!$A$"&amp;MATCH($S1376&amp;$J1376,SorP!C:C,0))))</f>
        <v>US-PA</v>
      </c>
      <c r="U1376" s="201"/>
      <c r="V1376" s="226">
        <f>IF(C1376="",NA(),IF(OR(C1376="Smelter not listed",C1376="Smelter not yet identified"),MATCH($B1376&amp;$D1376,'Smelter Look-up'!$J:$J,0),MATCH($B1376&amp;$C1376,'Smelter Look-up'!$J:$J,0)))</f>
        <v>604</v>
      </c>
      <c r="X1376" s="227">
        <f t="shared" si="195"/>
        <v>0</v>
      </c>
      <c r="AB1376" s="228" t="str">
        <f t="shared" si="196"/>
        <v>TungstenGlobal Tungsten &amp; Powders LLC</v>
      </c>
    </row>
    <row r="1377" spans="1:28" s="227" customFormat="1" ht="81">
      <c r="A1377" s="301" t="s">
        <v>785</v>
      </c>
      <c r="B1377" s="293" t="s">
        <v>1122</v>
      </c>
      <c r="C1377" s="294" t="s">
        <v>1368</v>
      </c>
      <c r="D1377" s="295" t="s">
        <v>1368</v>
      </c>
      <c r="E1377" s="293" t="s">
        <v>1090</v>
      </c>
      <c r="F1377" s="293" t="s">
        <v>785</v>
      </c>
      <c r="G1377" s="293" t="s">
        <v>13217</v>
      </c>
      <c r="H1377" s="296" t="s">
        <v>15855</v>
      </c>
      <c r="I1377" s="297" t="s">
        <v>1810</v>
      </c>
      <c r="J1377" s="297" t="s">
        <v>13601</v>
      </c>
      <c r="K1377" s="298" t="s">
        <v>15855</v>
      </c>
      <c r="L1377" s="298" t="s">
        <v>15855</v>
      </c>
      <c r="M1377" s="298" t="s">
        <v>15855</v>
      </c>
      <c r="N1377" s="298" t="s">
        <v>15855</v>
      </c>
      <c r="O1377" s="298" t="s">
        <v>15855</v>
      </c>
      <c r="P1377" s="299" t="s">
        <v>15857</v>
      </c>
      <c r="Q1377" s="300" t="s">
        <v>15855</v>
      </c>
      <c r="R1377" s="182" t="str">
        <f ca="1">IF(ISERROR($V1377),"",OFFSET('Smelter Look-up'!$C$4,$V1377-4,0)&amp;"")</f>
        <v>Guangdong Xianglu Tungsten Co., Ltd.</v>
      </c>
      <c r="S1377" s="181" t="str">
        <f t="shared" ca="1" si="194"/>
        <v>CN</v>
      </c>
      <c r="T1377" s="181" t="str">
        <f ca="1">IF(B1377="","",IF(ISERROR(MATCH($J1377,SorP!$B$1:$B$6226,0)),"",INDIRECT("'SorP'!$A$"&amp;MATCH($S1377&amp;$J1377,SorP!C:C,0))))</f>
        <v>CN-GD</v>
      </c>
      <c r="U1377" s="201"/>
      <c r="V1377" s="226">
        <f>IF(C1377="",NA(),IF(OR(C1377="Smelter not listed",C1377="Smelter not yet identified"),MATCH($B1377&amp;$D1377,'Smelter Look-up'!$J:$J,0),MATCH($B1377&amp;$C1377,'Smelter Look-up'!$J:$J,0)))</f>
        <v>606</v>
      </c>
      <c r="X1377" s="227">
        <f t="shared" si="195"/>
        <v>0</v>
      </c>
      <c r="AB1377" s="228" t="str">
        <f t="shared" si="196"/>
        <v>TungstenGuangdong Xianglu Tungsten Co., Ltd.</v>
      </c>
    </row>
    <row r="1378" spans="1:28" s="227" customFormat="1" ht="81">
      <c r="A1378" s="301" t="s">
        <v>785</v>
      </c>
      <c r="B1378" s="293" t="s">
        <v>1122</v>
      </c>
      <c r="C1378" s="294" t="s">
        <v>1368</v>
      </c>
      <c r="D1378" s="295" t="s">
        <v>1368</v>
      </c>
      <c r="E1378" s="293" t="s">
        <v>1090</v>
      </c>
      <c r="F1378" s="293" t="s">
        <v>785</v>
      </c>
      <c r="G1378" s="293" t="s">
        <v>13217</v>
      </c>
      <c r="H1378" s="296" t="s">
        <v>15855</v>
      </c>
      <c r="I1378" s="297" t="s">
        <v>1810</v>
      </c>
      <c r="J1378" s="297" t="s">
        <v>13601</v>
      </c>
      <c r="K1378" s="298" t="s">
        <v>15855</v>
      </c>
      <c r="L1378" s="298" t="s">
        <v>15855</v>
      </c>
      <c r="M1378" s="298" t="s">
        <v>15855</v>
      </c>
      <c r="N1378" s="298" t="s">
        <v>15855</v>
      </c>
      <c r="O1378" s="298" t="s">
        <v>15858</v>
      </c>
      <c r="P1378" s="299" t="s">
        <v>15857</v>
      </c>
      <c r="Q1378" s="300" t="s">
        <v>15855</v>
      </c>
      <c r="R1378" s="182" t="str">
        <f ca="1">IF(ISERROR($V1378),"",OFFSET('Smelter Look-up'!$C$4,$V1378-4,0)&amp;"")</f>
        <v>Guangdong Xianglu Tungsten Co., Ltd.</v>
      </c>
      <c r="S1378" s="181" t="str">
        <f t="shared" ca="1" si="194"/>
        <v>CN</v>
      </c>
      <c r="T1378" s="181" t="str">
        <f ca="1">IF(B1378="","",IF(ISERROR(MATCH($J1378,SorP!$B$1:$B$6226,0)),"",INDIRECT("'SorP'!$A$"&amp;MATCH($S1378&amp;$J1378,SorP!C:C,0))))</f>
        <v>CN-GD</v>
      </c>
      <c r="U1378" s="201"/>
      <c r="V1378" s="226">
        <f>IF(C1378="",NA(),IF(OR(C1378="Smelter not listed",C1378="Smelter not yet identified"),MATCH($B1378&amp;$D1378,'Smelter Look-up'!$J:$J,0),MATCH($B1378&amp;$C1378,'Smelter Look-up'!$J:$J,0)))</f>
        <v>606</v>
      </c>
      <c r="X1378" s="227">
        <f t="shared" si="195"/>
        <v>0</v>
      </c>
      <c r="AB1378" s="228" t="str">
        <f t="shared" si="196"/>
        <v>TungstenGuangdong Xianglu Tungsten Co., Ltd.</v>
      </c>
    </row>
    <row r="1379" spans="1:28" s="227" customFormat="1" ht="81">
      <c r="A1379" s="301" t="s">
        <v>785</v>
      </c>
      <c r="B1379" s="293" t="s">
        <v>1122</v>
      </c>
      <c r="C1379" s="294" t="s">
        <v>1368</v>
      </c>
      <c r="D1379" s="295" t="s">
        <v>1368</v>
      </c>
      <c r="E1379" s="293" t="s">
        <v>1090</v>
      </c>
      <c r="F1379" s="293" t="s">
        <v>785</v>
      </c>
      <c r="G1379" s="293" t="s">
        <v>13217</v>
      </c>
      <c r="H1379" s="296" t="s">
        <v>15855</v>
      </c>
      <c r="I1379" s="297" t="s">
        <v>1810</v>
      </c>
      <c r="J1379" s="297" t="s">
        <v>13601</v>
      </c>
      <c r="K1379" s="298" t="s">
        <v>17019</v>
      </c>
      <c r="L1379" s="298" t="s">
        <v>17020</v>
      </c>
      <c r="M1379" s="298" t="s">
        <v>17021</v>
      </c>
      <c r="N1379" s="298" t="s">
        <v>15862</v>
      </c>
      <c r="O1379" s="298" t="s">
        <v>17022</v>
      </c>
      <c r="P1379" s="299" t="s">
        <v>15857</v>
      </c>
      <c r="Q1379" s="300" t="s">
        <v>15855</v>
      </c>
      <c r="R1379" s="182" t="str">
        <f ca="1">IF(ISERROR($V1379),"",OFFSET('Smelter Look-up'!$C$4,$V1379-4,0)&amp;"")</f>
        <v>Guangdong Xianglu Tungsten Co., Ltd.</v>
      </c>
      <c r="S1379" s="181" t="str">
        <f t="shared" ca="1" si="194"/>
        <v>CN</v>
      </c>
      <c r="T1379" s="181" t="str">
        <f ca="1">IF(B1379="","",IF(ISERROR(MATCH($J1379,SorP!$B$1:$B$6226,0)),"",INDIRECT("'SorP'!$A$"&amp;MATCH($S1379&amp;$J1379,SorP!C:C,0))))</f>
        <v>CN-GD</v>
      </c>
      <c r="U1379" s="201"/>
      <c r="V1379" s="226">
        <f>IF(C1379="",NA(),IF(OR(C1379="Smelter not listed",C1379="Smelter not yet identified"),MATCH($B1379&amp;$D1379,'Smelter Look-up'!$J:$J,0),MATCH($B1379&amp;$C1379,'Smelter Look-up'!$J:$J,0)))</f>
        <v>606</v>
      </c>
      <c r="X1379" s="227">
        <f t="shared" si="195"/>
        <v>0</v>
      </c>
      <c r="AB1379" s="228" t="str">
        <f t="shared" si="196"/>
        <v>TungstenGuangdong Xianglu Tungsten Co., Ltd.</v>
      </c>
    </row>
    <row r="1380" spans="1:28" s="227" customFormat="1" ht="81">
      <c r="A1380" s="301" t="s">
        <v>785</v>
      </c>
      <c r="B1380" s="293" t="s">
        <v>1122</v>
      </c>
      <c r="C1380" s="294" t="s">
        <v>1368</v>
      </c>
      <c r="D1380" s="295" t="s">
        <v>1368</v>
      </c>
      <c r="E1380" s="293" t="s">
        <v>1090</v>
      </c>
      <c r="F1380" s="293" t="s">
        <v>785</v>
      </c>
      <c r="G1380" s="293" t="s">
        <v>13217</v>
      </c>
      <c r="H1380" s="302" t="s">
        <v>15880</v>
      </c>
      <c r="I1380" s="297" t="s">
        <v>1810</v>
      </c>
      <c r="J1380" s="297" t="s">
        <v>13601</v>
      </c>
      <c r="K1380" s="298" t="s">
        <v>15855</v>
      </c>
      <c r="L1380" s="298" t="s">
        <v>15855</v>
      </c>
      <c r="M1380" s="298" t="s">
        <v>15855</v>
      </c>
      <c r="N1380" s="298" t="s">
        <v>15855</v>
      </c>
      <c r="O1380" s="298" t="s">
        <v>15855</v>
      </c>
      <c r="P1380" s="299" t="s">
        <v>15857</v>
      </c>
      <c r="Q1380" s="300" t="s">
        <v>15855</v>
      </c>
      <c r="R1380" s="182" t="str">
        <f ca="1">IF(ISERROR($V1380),"",OFFSET('Smelter Look-up'!$C$4,$V1380-4,0)&amp;"")</f>
        <v>Guangdong Xianglu Tungsten Co., Ltd.</v>
      </c>
      <c r="S1380" s="181" t="str">
        <f t="shared" ca="1" si="194"/>
        <v>CN</v>
      </c>
      <c r="T1380" s="181" t="str">
        <f ca="1">IF(B1380="","",IF(ISERROR(MATCH($J1380,SorP!$B$1:$B$6226,0)),"",INDIRECT("'SorP'!$A$"&amp;MATCH($S1380&amp;$J1380,SorP!C:C,0))))</f>
        <v>CN-GD</v>
      </c>
      <c r="U1380" s="201"/>
      <c r="V1380" s="226">
        <f>IF(C1380="",NA(),IF(OR(C1380="Smelter not listed",C1380="Smelter not yet identified"),MATCH($B1380&amp;$D1380,'Smelter Look-up'!$J:$J,0),MATCH($B1380&amp;$C1380,'Smelter Look-up'!$J:$J,0)))</f>
        <v>606</v>
      </c>
      <c r="X1380" s="227">
        <f t="shared" si="195"/>
        <v>0</v>
      </c>
      <c r="AB1380" s="228" t="str">
        <f t="shared" si="196"/>
        <v>TungstenGuangdong Xianglu Tungsten Co., Ltd.</v>
      </c>
    </row>
    <row r="1381" spans="1:28" s="227" customFormat="1" ht="81">
      <c r="A1381" s="301" t="s">
        <v>1415</v>
      </c>
      <c r="B1381" s="293" t="s">
        <v>1122</v>
      </c>
      <c r="C1381" s="294" t="s">
        <v>2317</v>
      </c>
      <c r="D1381" s="295" t="s">
        <v>2317</v>
      </c>
      <c r="E1381" s="293" t="s">
        <v>1091</v>
      </c>
      <c r="F1381" s="293" t="s">
        <v>1415</v>
      </c>
      <c r="G1381" s="293" t="s">
        <v>13217</v>
      </c>
      <c r="H1381" s="296" t="s">
        <v>15855</v>
      </c>
      <c r="I1381" s="297" t="s">
        <v>1737</v>
      </c>
      <c r="J1381" s="297" t="s">
        <v>1536</v>
      </c>
      <c r="K1381" s="298" t="s">
        <v>15855</v>
      </c>
      <c r="L1381" s="298" t="s">
        <v>15855</v>
      </c>
      <c r="M1381" s="298" t="s">
        <v>15855</v>
      </c>
      <c r="N1381" s="298" t="s">
        <v>15855</v>
      </c>
      <c r="O1381" s="298" t="s">
        <v>15855</v>
      </c>
      <c r="P1381" s="299" t="s">
        <v>15857</v>
      </c>
      <c r="Q1381" s="300" t="s">
        <v>15855</v>
      </c>
      <c r="R1381" s="182" t="str">
        <f ca="1">IF(ISERROR($V1381),"",OFFSET('Smelter Look-up'!$C$4,$V1381-4,0)&amp;"")</f>
        <v>TANIOBIS Smelting GmbH &amp; Co. KG</v>
      </c>
      <c r="S1381" s="181" t="str">
        <f t="shared" ca="1" si="194"/>
        <v>DE</v>
      </c>
      <c r="T1381" s="181" t="str">
        <f ca="1">IF(B1381="","",IF(ISERROR(MATCH($J1381,SorP!$B$1:$B$6226,0)),"",INDIRECT("'SorP'!$A$"&amp;MATCH($S1381&amp;$J1381,SorP!C:C,0))))</f>
        <v>DE-BW</v>
      </c>
      <c r="U1381" s="201"/>
      <c r="V1381" s="226">
        <f>IF(C1381="",NA(),IF(OR(C1381="Smelter not listed",C1381="Smelter not yet identified"),MATCH($B1381&amp;$D1381,'Smelter Look-up'!$J:$J,0),MATCH($B1381&amp;$C1381,'Smelter Look-up'!$J:$J,0)))</f>
        <v>607</v>
      </c>
      <c r="X1381" s="227">
        <f t="shared" si="195"/>
        <v>0</v>
      </c>
      <c r="AB1381" s="228" t="str">
        <f t="shared" si="196"/>
        <v>TungstenH.C. Starck Smelting GmbH &amp; Co. KG</v>
      </c>
    </row>
    <row r="1382" spans="1:28" s="227" customFormat="1" ht="81">
      <c r="A1382" s="301" t="s">
        <v>1415</v>
      </c>
      <c r="B1382" s="293" t="s">
        <v>1122</v>
      </c>
      <c r="C1382" s="294" t="s">
        <v>2317</v>
      </c>
      <c r="D1382" s="295" t="s">
        <v>2317</v>
      </c>
      <c r="E1382" s="293" t="s">
        <v>1091</v>
      </c>
      <c r="F1382" s="293" t="s">
        <v>1415</v>
      </c>
      <c r="G1382" s="293" t="s">
        <v>13217</v>
      </c>
      <c r="H1382" s="296" t="s">
        <v>15855</v>
      </c>
      <c r="I1382" s="297" t="s">
        <v>1737</v>
      </c>
      <c r="J1382" s="297" t="s">
        <v>1536</v>
      </c>
      <c r="K1382" s="298" t="s">
        <v>15855</v>
      </c>
      <c r="L1382" s="298" t="s">
        <v>15855</v>
      </c>
      <c r="M1382" s="298" t="s">
        <v>15855</v>
      </c>
      <c r="N1382" s="298" t="s">
        <v>15855</v>
      </c>
      <c r="O1382" s="298" t="s">
        <v>15855</v>
      </c>
      <c r="P1382" s="299" t="s">
        <v>15857</v>
      </c>
      <c r="Q1382" s="300" t="s">
        <v>16531</v>
      </c>
      <c r="R1382" s="182" t="str">
        <f ca="1">IF(ISERROR($V1382),"",OFFSET('Smelter Look-up'!$C$4,$V1382-4,0)&amp;"")</f>
        <v>TANIOBIS Smelting GmbH &amp; Co. KG</v>
      </c>
      <c r="S1382" s="181" t="str">
        <f t="shared" ca="1" si="194"/>
        <v>DE</v>
      </c>
      <c r="T1382" s="181" t="str">
        <f ca="1">IF(B1382="","",IF(ISERROR(MATCH($J1382,SorP!$B$1:$B$6226,0)),"",INDIRECT("'SorP'!$A$"&amp;MATCH($S1382&amp;$J1382,SorP!C:C,0))))</f>
        <v>DE-BW</v>
      </c>
      <c r="U1382" s="201"/>
      <c r="V1382" s="226">
        <f>IF(C1382="",NA(),IF(OR(C1382="Smelter not listed",C1382="Smelter not yet identified"),MATCH($B1382&amp;$D1382,'Smelter Look-up'!$J:$J,0),MATCH($B1382&amp;$C1382,'Smelter Look-up'!$J:$J,0)))</f>
        <v>607</v>
      </c>
      <c r="X1382" s="227">
        <f t="shared" si="195"/>
        <v>0</v>
      </c>
      <c r="AB1382" s="228" t="str">
        <f t="shared" si="196"/>
        <v>TungstenH.C. Starck Smelting GmbH &amp; Co. KG</v>
      </c>
    </row>
    <row r="1383" spans="1:28" s="227" customFormat="1" ht="81">
      <c r="A1383" s="301" t="s">
        <v>1415</v>
      </c>
      <c r="B1383" s="293" t="s">
        <v>1122</v>
      </c>
      <c r="C1383" s="294" t="s">
        <v>15050</v>
      </c>
      <c r="D1383" s="295" t="s">
        <v>2317</v>
      </c>
      <c r="E1383" s="293" t="s">
        <v>1091</v>
      </c>
      <c r="F1383" s="293" t="s">
        <v>1415</v>
      </c>
      <c r="G1383" s="293" t="s">
        <v>15855</v>
      </c>
      <c r="H1383" s="296" t="s">
        <v>15855</v>
      </c>
      <c r="I1383" s="297" t="s">
        <v>1737</v>
      </c>
      <c r="J1383" s="297" t="s">
        <v>1536</v>
      </c>
      <c r="K1383" s="298" t="s">
        <v>15855</v>
      </c>
      <c r="L1383" s="298" t="s">
        <v>15855</v>
      </c>
      <c r="M1383" s="298" t="s">
        <v>15855</v>
      </c>
      <c r="N1383" s="298" t="s">
        <v>15855</v>
      </c>
      <c r="O1383" s="298" t="s">
        <v>15866</v>
      </c>
      <c r="P1383" s="299" t="s">
        <v>15857</v>
      </c>
      <c r="Q1383" s="300" t="s">
        <v>15855</v>
      </c>
      <c r="R1383" s="182" t="str">
        <f ca="1">IF(ISERROR($V1383),"",OFFSET('Smelter Look-up'!$C$4,$V1383-4,0)&amp;"")</f>
        <v>TANIOBIS Smelting GmbH &amp; Co. KG</v>
      </c>
      <c r="S1383" s="181" t="str">
        <f t="shared" ca="1" si="194"/>
        <v>DE</v>
      </c>
      <c r="T1383" s="181" t="str">
        <f ca="1">IF(B1383="","",IF(ISERROR(MATCH($J1383,SorP!$B$1:$B$6226,0)),"",INDIRECT("'SorP'!$A$"&amp;MATCH($S1383&amp;$J1383,SorP!C:C,0))))</f>
        <v>DE-BW</v>
      </c>
      <c r="U1383" s="201"/>
      <c r="V1383" s="226">
        <f>IF(C1383="",NA(),IF(OR(C1383="Smelter not listed",C1383="Smelter not yet identified"),MATCH($B1383&amp;$D1383,'Smelter Look-up'!$J:$J,0),MATCH($B1383&amp;$C1383,'Smelter Look-up'!$J:$J,0)))</f>
        <v>650</v>
      </c>
      <c r="X1383" s="227">
        <f t="shared" si="195"/>
        <v>0</v>
      </c>
      <c r="AB1383" s="228" t="str">
        <f t="shared" si="196"/>
        <v>TungstenTANIOBIS Smelting GmbH &amp; Co. KG</v>
      </c>
    </row>
    <row r="1384" spans="1:28" s="227" customFormat="1" ht="67.5">
      <c r="A1384" s="301" t="s">
        <v>1414</v>
      </c>
      <c r="B1384" s="293" t="s">
        <v>1122</v>
      </c>
      <c r="C1384" s="294" t="s">
        <v>2518</v>
      </c>
      <c r="D1384" s="295" t="s">
        <v>2518</v>
      </c>
      <c r="E1384" s="293" t="s">
        <v>1091</v>
      </c>
      <c r="F1384" s="293" t="s">
        <v>1414</v>
      </c>
      <c r="G1384" s="293" t="s">
        <v>13217</v>
      </c>
      <c r="H1384" s="296" t="s">
        <v>15855</v>
      </c>
      <c r="I1384" s="297" t="s">
        <v>1736</v>
      </c>
      <c r="J1384" s="297" t="s">
        <v>4228</v>
      </c>
      <c r="K1384" s="298" t="s">
        <v>15855</v>
      </c>
      <c r="L1384" s="298" t="s">
        <v>15855</v>
      </c>
      <c r="M1384" s="298" t="s">
        <v>15855</v>
      </c>
      <c r="N1384" s="298" t="s">
        <v>15855</v>
      </c>
      <c r="O1384" s="298" t="s">
        <v>15855</v>
      </c>
      <c r="P1384" s="299" t="s">
        <v>15857</v>
      </c>
      <c r="Q1384" s="300" t="s">
        <v>15855</v>
      </c>
      <c r="R1384" s="182" t="str">
        <f ca="1">IF(ISERROR($V1384),"",OFFSET('Smelter Look-up'!$C$4,$V1384-4,0)&amp;"")</f>
        <v>H.C. Starck Tungsten GmbH</v>
      </c>
      <c r="S1384" s="181" t="str">
        <f t="shared" ca="1" si="194"/>
        <v>DE</v>
      </c>
      <c r="T1384" s="181" t="str">
        <f ca="1">IF(B1384="","",IF(ISERROR(MATCH($J1384,SorP!$B$1:$B$6226,0)),"",INDIRECT("'SorP'!$A$"&amp;MATCH($S1384&amp;$J1384,SorP!C:C,0))))</f>
        <v>DE-NI</v>
      </c>
      <c r="U1384" s="201"/>
      <c r="V1384" s="226">
        <f>IF(C1384="",NA(),IF(OR(C1384="Smelter not listed",C1384="Smelter not yet identified"),MATCH($B1384&amp;$D1384,'Smelter Look-up'!$J:$J,0),MATCH($B1384&amp;$C1384,'Smelter Look-up'!$J:$J,0)))</f>
        <v>608</v>
      </c>
      <c r="X1384" s="227">
        <f t="shared" si="195"/>
        <v>0</v>
      </c>
      <c r="AB1384" s="228" t="str">
        <f t="shared" si="196"/>
        <v>TungstenH.C. Starck Tungsten GmbH</v>
      </c>
    </row>
    <row r="1385" spans="1:28" s="227" customFormat="1" ht="67.5">
      <c r="A1385" s="301" t="s">
        <v>1414</v>
      </c>
      <c r="B1385" s="293" t="s">
        <v>1122</v>
      </c>
      <c r="C1385" s="294" t="s">
        <v>2518</v>
      </c>
      <c r="D1385" s="295" t="s">
        <v>2518</v>
      </c>
      <c r="E1385" s="293" t="s">
        <v>1091</v>
      </c>
      <c r="F1385" s="293" t="s">
        <v>1414</v>
      </c>
      <c r="G1385" s="293" t="s">
        <v>13217</v>
      </c>
      <c r="H1385" s="296" t="s">
        <v>15855</v>
      </c>
      <c r="I1385" s="297" t="s">
        <v>1736</v>
      </c>
      <c r="J1385" s="297" t="s">
        <v>4228</v>
      </c>
      <c r="K1385" s="298" t="s">
        <v>15855</v>
      </c>
      <c r="L1385" s="298" t="s">
        <v>15855</v>
      </c>
      <c r="M1385" s="298" t="s">
        <v>15855</v>
      </c>
      <c r="N1385" s="298" t="s">
        <v>15855</v>
      </c>
      <c r="O1385" s="298" t="s">
        <v>15855</v>
      </c>
      <c r="P1385" s="299" t="s">
        <v>15857</v>
      </c>
      <c r="Q1385" s="300" t="s">
        <v>16531</v>
      </c>
      <c r="R1385" s="182" t="str">
        <f ca="1">IF(ISERROR($V1385),"",OFFSET('Smelter Look-up'!$C$4,$V1385-4,0)&amp;"")</f>
        <v>H.C. Starck Tungsten GmbH</v>
      </c>
      <c r="S1385" s="181" t="str">
        <f t="shared" ca="1" si="194"/>
        <v>DE</v>
      </c>
      <c r="T1385" s="181" t="str">
        <f ca="1">IF(B1385="","",IF(ISERROR(MATCH($J1385,SorP!$B$1:$B$6226,0)),"",INDIRECT("'SorP'!$A$"&amp;MATCH($S1385&amp;$J1385,SorP!C:C,0))))</f>
        <v>DE-NI</v>
      </c>
      <c r="U1385" s="201"/>
      <c r="V1385" s="226">
        <f>IF(C1385="",NA(),IF(OR(C1385="Smelter not listed",C1385="Smelter not yet identified"),MATCH($B1385&amp;$D1385,'Smelter Look-up'!$J:$J,0),MATCH($B1385&amp;$C1385,'Smelter Look-up'!$J:$J,0)))</f>
        <v>608</v>
      </c>
      <c r="X1385" s="227">
        <f t="shared" si="195"/>
        <v>0</v>
      </c>
      <c r="AB1385" s="228" t="str">
        <f t="shared" si="196"/>
        <v>TungstenH.C. Starck Tungsten GmbH</v>
      </c>
    </row>
    <row r="1386" spans="1:28" s="227" customFormat="1" ht="67.5">
      <c r="A1386" s="301" t="s">
        <v>1414</v>
      </c>
      <c r="B1386" s="293" t="s">
        <v>1122</v>
      </c>
      <c r="C1386" s="294" t="s">
        <v>2518</v>
      </c>
      <c r="D1386" s="295" t="s">
        <v>2518</v>
      </c>
      <c r="E1386" s="293" t="s">
        <v>1091</v>
      </c>
      <c r="F1386" s="293" t="s">
        <v>1414</v>
      </c>
      <c r="G1386" s="293" t="s">
        <v>13217</v>
      </c>
      <c r="H1386" s="296" t="s">
        <v>15855</v>
      </c>
      <c r="I1386" s="297" t="s">
        <v>1736</v>
      </c>
      <c r="J1386" s="297" t="s">
        <v>4228</v>
      </c>
      <c r="K1386" s="298" t="s">
        <v>15855</v>
      </c>
      <c r="L1386" s="298" t="s">
        <v>15855</v>
      </c>
      <c r="M1386" s="298" t="s">
        <v>15855</v>
      </c>
      <c r="N1386" s="298" t="s">
        <v>15855</v>
      </c>
      <c r="O1386" s="298" t="s">
        <v>16364</v>
      </c>
      <c r="P1386" s="299" t="s">
        <v>15857</v>
      </c>
      <c r="Q1386" s="300" t="s">
        <v>16950</v>
      </c>
      <c r="R1386" s="182" t="str">
        <f ca="1">IF(ISERROR($V1386),"",OFFSET('Smelter Look-up'!$C$4,$V1386-4,0)&amp;"")</f>
        <v>H.C. Starck Tungsten GmbH</v>
      </c>
      <c r="S1386" s="181" t="str">
        <f t="shared" ca="1" si="194"/>
        <v>DE</v>
      </c>
      <c r="T1386" s="181" t="str">
        <f ca="1">IF(B1386="","",IF(ISERROR(MATCH($J1386,SorP!$B$1:$B$6226,0)),"",INDIRECT("'SorP'!$A$"&amp;MATCH($S1386&amp;$J1386,SorP!C:C,0))))</f>
        <v>DE-NI</v>
      </c>
      <c r="U1386" s="201"/>
      <c r="V1386" s="226">
        <f>IF(C1386="",NA(),IF(OR(C1386="Smelter not listed",C1386="Smelter not yet identified"),MATCH($B1386&amp;$D1386,'Smelter Look-up'!$J:$J,0),MATCH($B1386&amp;$C1386,'Smelter Look-up'!$J:$J,0)))</f>
        <v>608</v>
      </c>
      <c r="X1386" s="227">
        <f t="shared" si="195"/>
        <v>0</v>
      </c>
      <c r="AB1386" s="228" t="str">
        <f t="shared" si="196"/>
        <v>TungstenH.C. Starck Tungsten GmbH</v>
      </c>
    </row>
    <row r="1387" spans="1:28" s="227" customFormat="1" ht="67.5">
      <c r="A1387" s="301" t="s">
        <v>1414</v>
      </c>
      <c r="B1387" s="293" t="s">
        <v>1122</v>
      </c>
      <c r="C1387" s="294" t="s">
        <v>2518</v>
      </c>
      <c r="D1387" s="295" t="s">
        <v>2518</v>
      </c>
      <c r="E1387" s="293" t="s">
        <v>1091</v>
      </c>
      <c r="F1387" s="293" t="s">
        <v>1414</v>
      </c>
      <c r="G1387" s="293" t="s">
        <v>13217</v>
      </c>
      <c r="H1387" s="296" t="s">
        <v>15855</v>
      </c>
      <c r="I1387" s="297" t="s">
        <v>1736</v>
      </c>
      <c r="J1387" s="297" t="s">
        <v>4228</v>
      </c>
      <c r="K1387" s="298" t="s">
        <v>15855</v>
      </c>
      <c r="L1387" s="298" t="s">
        <v>15855</v>
      </c>
      <c r="M1387" s="298" t="s">
        <v>15855</v>
      </c>
      <c r="N1387" s="298" t="s">
        <v>15855</v>
      </c>
      <c r="O1387" s="298" t="s">
        <v>15925</v>
      </c>
      <c r="P1387" s="299" t="s">
        <v>15857</v>
      </c>
      <c r="Q1387" s="300" t="s">
        <v>15855</v>
      </c>
      <c r="R1387" s="182" t="str">
        <f ca="1">IF(ISERROR($V1387),"",OFFSET('Smelter Look-up'!$C$4,$V1387-4,0)&amp;"")</f>
        <v>H.C. Starck Tungsten GmbH</v>
      </c>
      <c r="S1387" s="181" t="str">
        <f t="shared" ca="1" si="194"/>
        <v>DE</v>
      </c>
      <c r="T1387" s="181" t="str">
        <f ca="1">IF(B1387="","",IF(ISERROR(MATCH($J1387,SorP!$B$1:$B$6226,0)),"",INDIRECT("'SorP'!$A$"&amp;MATCH($S1387&amp;$J1387,SorP!C:C,0))))</f>
        <v>DE-NI</v>
      </c>
      <c r="U1387" s="201"/>
      <c r="V1387" s="226">
        <f>IF(C1387="",NA(),IF(OR(C1387="Smelter not listed",C1387="Smelter not yet identified"),MATCH($B1387&amp;$D1387,'Smelter Look-up'!$J:$J,0),MATCH($B1387&amp;$C1387,'Smelter Look-up'!$J:$J,0)))</f>
        <v>608</v>
      </c>
      <c r="X1387" s="227">
        <f t="shared" si="195"/>
        <v>0</v>
      </c>
      <c r="AB1387" s="228" t="str">
        <f t="shared" si="196"/>
        <v>TungstenH.C. Starck Tungsten GmbH</v>
      </c>
    </row>
    <row r="1388" spans="1:28" s="227" customFormat="1" ht="67.5">
      <c r="A1388" s="301" t="s">
        <v>1414</v>
      </c>
      <c r="B1388" s="293" t="s">
        <v>1122</v>
      </c>
      <c r="C1388" s="294" t="s">
        <v>2518</v>
      </c>
      <c r="D1388" s="295" t="s">
        <v>2518</v>
      </c>
      <c r="E1388" s="293" t="s">
        <v>1091</v>
      </c>
      <c r="F1388" s="293" t="s">
        <v>1414</v>
      </c>
      <c r="G1388" s="293" t="s">
        <v>13217</v>
      </c>
      <c r="H1388" s="296" t="s">
        <v>15855</v>
      </c>
      <c r="I1388" s="297" t="s">
        <v>1736</v>
      </c>
      <c r="J1388" s="297" t="s">
        <v>4228</v>
      </c>
      <c r="K1388" s="298" t="s">
        <v>17023</v>
      </c>
      <c r="L1388" s="298" t="s">
        <v>17024</v>
      </c>
      <c r="M1388" s="298" t="s">
        <v>17025</v>
      </c>
      <c r="N1388" s="298" t="s">
        <v>15870</v>
      </c>
      <c r="O1388" s="298" t="s">
        <v>17026</v>
      </c>
      <c r="P1388" s="299" t="s">
        <v>15857</v>
      </c>
      <c r="Q1388" s="300" t="s">
        <v>15855</v>
      </c>
      <c r="R1388" s="182" t="str">
        <f ca="1">IF(ISERROR($V1388),"",OFFSET('Smelter Look-up'!$C$4,$V1388-4,0)&amp;"")</f>
        <v>H.C. Starck Tungsten GmbH</v>
      </c>
      <c r="S1388" s="181" t="str">
        <f t="shared" ca="1" si="194"/>
        <v>DE</v>
      </c>
      <c r="T1388" s="181" t="str">
        <f ca="1">IF(B1388="","",IF(ISERROR(MATCH($J1388,SorP!$B$1:$B$6226,0)),"",INDIRECT("'SorP'!$A$"&amp;MATCH($S1388&amp;$J1388,SorP!C:C,0))))</f>
        <v>DE-NI</v>
      </c>
      <c r="U1388" s="201"/>
      <c r="V1388" s="226">
        <f>IF(C1388="",NA(),IF(OR(C1388="Smelter not listed",C1388="Smelter not yet identified"),MATCH($B1388&amp;$D1388,'Smelter Look-up'!$J:$J,0),MATCH($B1388&amp;$C1388,'Smelter Look-up'!$J:$J,0)))</f>
        <v>608</v>
      </c>
      <c r="X1388" s="227">
        <f t="shared" si="195"/>
        <v>0</v>
      </c>
      <c r="AB1388" s="228" t="str">
        <f t="shared" si="196"/>
        <v>TungstenH.C. Starck Tungsten GmbH</v>
      </c>
    </row>
    <row r="1389" spans="1:28" s="227" customFormat="1" ht="67.5">
      <c r="A1389" s="301" t="s">
        <v>1414</v>
      </c>
      <c r="B1389" s="293" t="s">
        <v>1122</v>
      </c>
      <c r="C1389" s="294" t="s">
        <v>2518</v>
      </c>
      <c r="D1389" s="295" t="s">
        <v>2518</v>
      </c>
      <c r="E1389" s="293" t="s">
        <v>1091</v>
      </c>
      <c r="F1389" s="293" t="s">
        <v>1414</v>
      </c>
      <c r="G1389" s="293" t="s">
        <v>13217</v>
      </c>
      <c r="H1389" s="302" t="s">
        <v>15880</v>
      </c>
      <c r="I1389" s="297" t="s">
        <v>1736</v>
      </c>
      <c r="J1389" s="297" t="s">
        <v>4228</v>
      </c>
      <c r="K1389" s="298" t="s">
        <v>15855</v>
      </c>
      <c r="L1389" s="298" t="s">
        <v>15855</v>
      </c>
      <c r="M1389" s="298" t="s">
        <v>15855</v>
      </c>
      <c r="N1389" s="298" t="s">
        <v>15855</v>
      </c>
      <c r="O1389" s="298" t="s">
        <v>15855</v>
      </c>
      <c r="P1389" s="299" t="s">
        <v>15857</v>
      </c>
      <c r="Q1389" s="300" t="s">
        <v>15855</v>
      </c>
      <c r="R1389" s="182" t="str">
        <f ca="1">IF(ISERROR($V1389),"",OFFSET('Smelter Look-up'!$C$4,$V1389-4,0)&amp;"")</f>
        <v>H.C. Starck Tungsten GmbH</v>
      </c>
      <c r="S1389" s="181" t="str">
        <f t="shared" ca="1" si="194"/>
        <v>DE</v>
      </c>
      <c r="T1389" s="181" t="str">
        <f ca="1">IF(B1389="","",IF(ISERROR(MATCH($J1389,SorP!$B$1:$B$6226,0)),"",INDIRECT("'SorP'!$A$"&amp;MATCH($S1389&amp;$J1389,SorP!C:C,0))))</f>
        <v>DE-NI</v>
      </c>
      <c r="U1389" s="201"/>
      <c r="V1389" s="226">
        <f>IF(C1389="",NA(),IF(OR(C1389="Smelter not listed",C1389="Smelter not yet identified"),MATCH($B1389&amp;$D1389,'Smelter Look-up'!$J:$J,0),MATCH($B1389&amp;$C1389,'Smelter Look-up'!$J:$J,0)))</f>
        <v>608</v>
      </c>
      <c r="X1389" s="227">
        <f t="shared" si="195"/>
        <v>0</v>
      </c>
      <c r="AB1389" s="228" t="str">
        <f t="shared" si="196"/>
        <v>TungstenH.C. Starck Tungsten GmbH</v>
      </c>
    </row>
    <row r="1390" spans="1:28" s="227" customFormat="1" ht="67.5">
      <c r="A1390" s="301" t="s">
        <v>13845</v>
      </c>
      <c r="B1390" s="293" t="s">
        <v>1122</v>
      </c>
      <c r="C1390" s="294" t="s">
        <v>15518</v>
      </c>
      <c r="D1390" s="295" t="s">
        <v>15518</v>
      </c>
      <c r="E1390" s="293" t="s">
        <v>1090</v>
      </c>
      <c r="F1390" s="293" t="s">
        <v>13845</v>
      </c>
      <c r="G1390" s="293" t="s">
        <v>13217</v>
      </c>
      <c r="H1390" s="296" t="s">
        <v>15855</v>
      </c>
      <c r="I1390" s="297" t="s">
        <v>15104</v>
      </c>
      <c r="J1390" s="297" t="s">
        <v>13601</v>
      </c>
      <c r="K1390" s="298" t="s">
        <v>15855</v>
      </c>
      <c r="L1390" s="298" t="s">
        <v>15855</v>
      </c>
      <c r="M1390" s="298" t="s">
        <v>15855</v>
      </c>
      <c r="N1390" s="298" t="s">
        <v>15855</v>
      </c>
      <c r="O1390" s="298" t="s">
        <v>15925</v>
      </c>
      <c r="P1390" s="299" t="s">
        <v>15857</v>
      </c>
      <c r="Q1390" s="300" t="s">
        <v>15855</v>
      </c>
      <c r="R1390" s="182" t="str">
        <f ca="1">IF(ISERROR($V1390),"",OFFSET('Smelter Look-up'!$C$4,$V1390-4,0)&amp;"")</f>
        <v>Hubei Green Tungsten Co., Ltd.</v>
      </c>
      <c r="S1390" s="181" t="str">
        <f t="shared" ca="1" si="194"/>
        <v>CN</v>
      </c>
      <c r="T1390" s="181" t="str">
        <f ca="1">IF(B1390="","",IF(ISERROR(MATCH($J1390,SorP!$B$1:$B$6226,0)),"",INDIRECT("'SorP'!$A$"&amp;MATCH($S1390&amp;$J1390,SorP!C:C,0))))</f>
        <v>CN-GD</v>
      </c>
      <c r="U1390" s="201"/>
      <c r="V1390" s="226">
        <f>IF(C1390="",NA(),IF(OR(C1390="Smelter not listed",C1390="Smelter not yet identified"),MATCH($B1390&amp;$D1390,'Smelter Look-up'!$J:$J,0),MATCH($B1390&amp;$C1390,'Smelter Look-up'!$J:$J,0)))</f>
        <v>611</v>
      </c>
      <c r="X1390" s="227">
        <f t="shared" si="195"/>
        <v>0</v>
      </c>
      <c r="AB1390" s="228" t="str">
        <f t="shared" si="196"/>
        <v>TungstenHubei Green Tungsten Co., Ltd.</v>
      </c>
    </row>
    <row r="1391" spans="1:28" s="227" customFormat="1" ht="135">
      <c r="A1391" s="301" t="s">
        <v>13845</v>
      </c>
      <c r="B1391" s="293" t="s">
        <v>1122</v>
      </c>
      <c r="C1391" s="294" t="s">
        <v>15466</v>
      </c>
      <c r="D1391" s="295" t="s">
        <v>15518</v>
      </c>
      <c r="E1391" s="293" t="s">
        <v>1090</v>
      </c>
      <c r="F1391" s="293" t="s">
        <v>13845</v>
      </c>
      <c r="G1391" s="293" t="s">
        <v>13217</v>
      </c>
      <c r="H1391" s="296" t="s">
        <v>15855</v>
      </c>
      <c r="I1391" s="297" t="s">
        <v>15104</v>
      </c>
      <c r="J1391" s="297" t="s">
        <v>13601</v>
      </c>
      <c r="K1391" s="298" t="s">
        <v>15855</v>
      </c>
      <c r="L1391" s="298" t="s">
        <v>15855</v>
      </c>
      <c r="M1391" s="298" t="s">
        <v>15855</v>
      </c>
      <c r="N1391" s="298" t="s">
        <v>15855</v>
      </c>
      <c r="O1391" s="298" t="s">
        <v>15855</v>
      </c>
      <c r="P1391" s="299" t="s">
        <v>15857</v>
      </c>
      <c r="Q1391" s="300" t="s">
        <v>15855</v>
      </c>
      <c r="R1391" s="182" t="str">
        <f ca="1">IF(ISERROR($V1391),"",OFFSET('Smelter Look-up'!$C$4,$V1391-4,0)&amp;"")</f>
        <v>Hubei Green Tungsten Co., Ltd.</v>
      </c>
      <c r="S1391" s="181" t="str">
        <f t="shared" ca="1" si="194"/>
        <v>CN</v>
      </c>
      <c r="T1391" s="181" t="str">
        <f ca="1">IF(B1391="","",IF(ISERROR(MATCH($J1391,SorP!$B$1:$B$6226,0)),"",INDIRECT("'SorP'!$A$"&amp;MATCH($S1391&amp;$J1391,SorP!C:C,0))))</f>
        <v>CN-GD</v>
      </c>
      <c r="U1391" s="201"/>
      <c r="V1391" s="226">
        <f>IF(C1391="",NA(),IF(OR(C1391="Smelter not listed",C1391="Smelter not yet identified"),MATCH($B1391&amp;$D1391,'Smelter Look-up'!$J:$J,0),MATCH($B1391&amp;$C1391,'Smelter Look-up'!$J:$J,0)))</f>
        <v>626</v>
      </c>
      <c r="X1391" s="227">
        <f t="shared" si="195"/>
        <v>0</v>
      </c>
      <c r="AB1391" s="228" t="str">
        <f t="shared" si="196"/>
        <v>TungstenJingmen Dewei GEM Tungsten Resources Recycling Co., Ltd.</v>
      </c>
    </row>
    <row r="1392" spans="1:28" s="227" customFormat="1" ht="67.5">
      <c r="A1392" s="301" t="s">
        <v>788</v>
      </c>
      <c r="B1392" s="293" t="s">
        <v>1122</v>
      </c>
      <c r="C1392" s="294" t="s">
        <v>2197</v>
      </c>
      <c r="D1392" s="295" t="s">
        <v>2197</v>
      </c>
      <c r="E1392" s="293" t="s">
        <v>1090</v>
      </c>
      <c r="F1392" s="293" t="s">
        <v>788</v>
      </c>
      <c r="G1392" s="293" t="s">
        <v>13217</v>
      </c>
      <c r="H1392" s="296" t="s">
        <v>15855</v>
      </c>
      <c r="I1392" s="297" t="s">
        <v>2118</v>
      </c>
      <c r="J1392" s="297" t="s">
        <v>13600</v>
      </c>
      <c r="K1392" s="298" t="s">
        <v>15855</v>
      </c>
      <c r="L1392" s="298" t="s">
        <v>15855</v>
      </c>
      <c r="M1392" s="298" t="s">
        <v>15855</v>
      </c>
      <c r="N1392" s="298" t="s">
        <v>15855</v>
      </c>
      <c r="O1392" s="298" t="s">
        <v>15855</v>
      </c>
      <c r="P1392" s="299" t="s">
        <v>15857</v>
      </c>
      <c r="Q1392" s="300" t="s">
        <v>15855</v>
      </c>
      <c r="R1392" s="182" t="str">
        <f ca="1">IF(ISERROR($V1392),"",OFFSET('Smelter Look-up'!$C$4,$V1392-4,0)&amp;"")</f>
        <v>Hunan Chenzhou Mining Co., Ltd.</v>
      </c>
      <c r="S1392" s="181" t="str">
        <f t="shared" ca="1" si="194"/>
        <v>CN</v>
      </c>
      <c r="T1392" s="181" t="str">
        <f ca="1">IF(B1392="","",IF(ISERROR(MATCH($J1392,SorP!$B$1:$B$6226,0)),"",INDIRECT("'SorP'!$A$"&amp;MATCH($S1392&amp;$J1392,SorP!C:C,0))))</f>
        <v>CN-HN</v>
      </c>
      <c r="U1392" s="201"/>
      <c r="V1392" s="226">
        <f>IF(C1392="",NA(),IF(OR(C1392="Smelter not listed",C1392="Smelter not yet identified"),MATCH($B1392&amp;$D1392,'Smelter Look-up'!$J:$J,0),MATCH($B1392&amp;$C1392,'Smelter Look-up'!$J:$J,0)))</f>
        <v>613</v>
      </c>
      <c r="X1392" s="227">
        <f t="shared" si="195"/>
        <v>0</v>
      </c>
      <c r="AB1392" s="228" t="str">
        <f t="shared" si="196"/>
        <v>TungstenHunan Chenzhou Mining Co., Ltd.</v>
      </c>
    </row>
    <row r="1393" spans="1:28" s="227" customFormat="1" ht="67.5">
      <c r="A1393" s="301" t="s">
        <v>788</v>
      </c>
      <c r="B1393" s="293" t="s">
        <v>1122</v>
      </c>
      <c r="C1393" s="294" t="s">
        <v>2197</v>
      </c>
      <c r="D1393" s="295" t="s">
        <v>2197</v>
      </c>
      <c r="E1393" s="293" t="s">
        <v>1090</v>
      </c>
      <c r="F1393" s="293" t="s">
        <v>788</v>
      </c>
      <c r="G1393" s="293" t="s">
        <v>13217</v>
      </c>
      <c r="H1393" s="296" t="s">
        <v>15855</v>
      </c>
      <c r="I1393" s="297" t="s">
        <v>2118</v>
      </c>
      <c r="J1393" s="297" t="s">
        <v>13600</v>
      </c>
      <c r="K1393" s="298" t="s">
        <v>15855</v>
      </c>
      <c r="L1393" s="298" t="s">
        <v>15855</v>
      </c>
      <c r="M1393" s="298" t="s">
        <v>15855</v>
      </c>
      <c r="N1393" s="298" t="s">
        <v>15855</v>
      </c>
      <c r="O1393" s="298" t="s">
        <v>15858</v>
      </c>
      <c r="P1393" s="299" t="s">
        <v>15857</v>
      </c>
      <c r="Q1393" s="300" t="s">
        <v>15855</v>
      </c>
      <c r="R1393" s="182" t="str">
        <f ca="1">IF(ISERROR($V1393),"",OFFSET('Smelter Look-up'!$C$4,$V1393-4,0)&amp;"")</f>
        <v>Hunan Chenzhou Mining Co., Ltd.</v>
      </c>
      <c r="S1393" s="181" t="str">
        <f t="shared" ca="1" si="194"/>
        <v>CN</v>
      </c>
      <c r="T1393" s="181" t="str">
        <f ca="1">IF(B1393="","",IF(ISERROR(MATCH($J1393,SorP!$B$1:$B$6226,0)),"",INDIRECT("'SorP'!$A$"&amp;MATCH($S1393&amp;$J1393,SorP!C:C,0))))</f>
        <v>CN-HN</v>
      </c>
      <c r="U1393" s="201"/>
      <c r="V1393" s="226">
        <f>IF(C1393="",NA(),IF(OR(C1393="Smelter not listed",C1393="Smelter not yet identified"),MATCH($B1393&amp;$D1393,'Smelter Look-up'!$J:$J,0),MATCH($B1393&amp;$C1393,'Smelter Look-up'!$J:$J,0)))</f>
        <v>613</v>
      </c>
      <c r="X1393" s="227">
        <f t="shared" si="195"/>
        <v>0</v>
      </c>
      <c r="AB1393" s="228" t="str">
        <f t="shared" si="196"/>
        <v>TungstenHunan Chenzhou Mining Co., Ltd.</v>
      </c>
    </row>
    <row r="1394" spans="1:28" s="227" customFormat="1" ht="67.5">
      <c r="A1394" s="301" t="s">
        <v>788</v>
      </c>
      <c r="B1394" s="293" t="s">
        <v>1122</v>
      </c>
      <c r="C1394" s="294" t="s">
        <v>2197</v>
      </c>
      <c r="D1394" s="295" t="s">
        <v>2197</v>
      </c>
      <c r="E1394" s="293" t="s">
        <v>1090</v>
      </c>
      <c r="F1394" s="293" t="s">
        <v>788</v>
      </c>
      <c r="G1394" s="293" t="s">
        <v>13217</v>
      </c>
      <c r="H1394" s="296" t="s">
        <v>15855</v>
      </c>
      <c r="I1394" s="297" t="s">
        <v>2118</v>
      </c>
      <c r="J1394" s="297" t="s">
        <v>13600</v>
      </c>
      <c r="K1394" s="298" t="s">
        <v>17027</v>
      </c>
      <c r="L1394" s="298" t="s">
        <v>17028</v>
      </c>
      <c r="M1394" s="298" t="s">
        <v>15869</v>
      </c>
      <c r="N1394" s="298" t="s">
        <v>15862</v>
      </c>
      <c r="O1394" s="298" t="s">
        <v>16334</v>
      </c>
      <c r="P1394" s="299" t="s">
        <v>15857</v>
      </c>
      <c r="Q1394" s="300" t="s">
        <v>15855</v>
      </c>
      <c r="R1394" s="182" t="str">
        <f ca="1">IF(ISERROR($V1394),"",OFFSET('Smelter Look-up'!$C$4,$V1394-4,0)&amp;"")</f>
        <v>Hunan Chenzhou Mining Co., Ltd.</v>
      </c>
      <c r="S1394" s="181" t="str">
        <f t="shared" ca="1" si="194"/>
        <v>CN</v>
      </c>
      <c r="T1394" s="181" t="str">
        <f ca="1">IF(B1394="","",IF(ISERROR(MATCH($J1394,SorP!$B$1:$B$6226,0)),"",INDIRECT("'SorP'!$A$"&amp;MATCH($S1394&amp;$J1394,SorP!C:C,0))))</f>
        <v>CN-HN</v>
      </c>
      <c r="U1394" s="201"/>
      <c r="V1394" s="226">
        <f>IF(C1394="",NA(),IF(OR(C1394="Smelter not listed",C1394="Smelter not yet identified"),MATCH($B1394&amp;$D1394,'Smelter Look-up'!$J:$J,0),MATCH($B1394&amp;$C1394,'Smelter Look-up'!$J:$J,0)))</f>
        <v>613</v>
      </c>
      <c r="X1394" s="227">
        <f t="shared" si="195"/>
        <v>0</v>
      </c>
      <c r="AB1394" s="228" t="str">
        <f t="shared" si="196"/>
        <v>TungstenHunan Chenzhou Mining Co., Ltd.</v>
      </c>
    </row>
    <row r="1395" spans="1:28" s="227" customFormat="1" ht="67.5">
      <c r="A1395" s="301" t="s">
        <v>788</v>
      </c>
      <c r="B1395" s="293" t="s">
        <v>1122</v>
      </c>
      <c r="C1395" s="294" t="s">
        <v>2197</v>
      </c>
      <c r="D1395" s="295" t="s">
        <v>2197</v>
      </c>
      <c r="E1395" s="293" t="s">
        <v>1090</v>
      </c>
      <c r="F1395" s="293" t="s">
        <v>788</v>
      </c>
      <c r="G1395" s="293" t="s">
        <v>13217</v>
      </c>
      <c r="H1395" s="302" t="s">
        <v>15880</v>
      </c>
      <c r="I1395" s="297" t="s">
        <v>2118</v>
      </c>
      <c r="J1395" s="297" t="s">
        <v>13600</v>
      </c>
      <c r="K1395" s="298" t="s">
        <v>15855</v>
      </c>
      <c r="L1395" s="298" t="s">
        <v>15855</v>
      </c>
      <c r="M1395" s="298" t="s">
        <v>15855</v>
      </c>
      <c r="N1395" s="298" t="s">
        <v>15855</v>
      </c>
      <c r="O1395" s="298" t="s">
        <v>15855</v>
      </c>
      <c r="P1395" s="299" t="s">
        <v>15857</v>
      </c>
      <c r="Q1395" s="300" t="s">
        <v>15855</v>
      </c>
      <c r="R1395" s="182" t="str">
        <f ca="1">IF(ISERROR($V1395),"",OFFSET('Smelter Look-up'!$C$4,$V1395-4,0)&amp;"")</f>
        <v>Hunan Chenzhou Mining Co., Ltd.</v>
      </c>
      <c r="S1395" s="181" t="str">
        <f t="shared" ca="1" si="194"/>
        <v>CN</v>
      </c>
      <c r="T1395" s="181" t="str">
        <f ca="1">IF(B1395="","",IF(ISERROR(MATCH($J1395,SorP!$B$1:$B$6226,0)),"",INDIRECT("'SorP'!$A$"&amp;MATCH($S1395&amp;$J1395,SorP!C:C,0))))</f>
        <v>CN-HN</v>
      </c>
      <c r="U1395" s="201"/>
      <c r="V1395" s="226">
        <f>IF(C1395="",NA(),IF(OR(C1395="Smelter not listed",C1395="Smelter not yet identified"),MATCH($B1395&amp;$D1395,'Smelter Look-up'!$J:$J,0),MATCH($B1395&amp;$C1395,'Smelter Look-up'!$J:$J,0)))</f>
        <v>613</v>
      </c>
      <c r="X1395" s="227">
        <f t="shared" si="195"/>
        <v>0</v>
      </c>
      <c r="AB1395" s="228" t="str">
        <f t="shared" si="196"/>
        <v>TungstenHunan Chenzhou Mining Co., Ltd.</v>
      </c>
    </row>
    <row r="1396" spans="1:28" s="227" customFormat="1" ht="121.5">
      <c r="A1396" s="301" t="s">
        <v>17029</v>
      </c>
      <c r="B1396" s="293" t="s">
        <v>1122</v>
      </c>
      <c r="C1396" s="294" t="s">
        <v>17030</v>
      </c>
      <c r="D1396" s="295" t="s">
        <v>17030</v>
      </c>
      <c r="E1396" s="293" t="s">
        <v>1090</v>
      </c>
      <c r="F1396" s="293" t="s">
        <v>17029</v>
      </c>
      <c r="G1396" s="293" t="s">
        <v>13217</v>
      </c>
      <c r="H1396" s="296" t="s">
        <v>15855</v>
      </c>
      <c r="I1396" s="297" t="s">
        <v>1728</v>
      </c>
      <c r="J1396" s="297" t="s">
        <v>13600</v>
      </c>
      <c r="K1396" s="298" t="s">
        <v>15855</v>
      </c>
      <c r="L1396" s="298" t="s">
        <v>15855</v>
      </c>
      <c r="M1396" s="298" t="s">
        <v>15855</v>
      </c>
      <c r="N1396" s="298" t="s">
        <v>15855</v>
      </c>
      <c r="O1396" s="298" t="s">
        <v>15855</v>
      </c>
      <c r="P1396" s="299" t="s">
        <v>15857</v>
      </c>
      <c r="Q1396" s="300" t="s">
        <v>15855</v>
      </c>
      <c r="R1396" s="182" t="str">
        <f ca="1">IF(ISERROR($V1396),"",OFFSET('Smelter Look-up'!$C$4,$V1396-4,0)&amp;"")</f>
        <v/>
      </c>
      <c r="S1396" s="181" t="str">
        <f t="shared" ca="1" si="194"/>
        <v>CN</v>
      </c>
      <c r="T1396" s="181" t="str">
        <f ca="1">IF(B1396="","",IF(ISERROR(MATCH($J1396,SorP!$B$1:$B$6226,0)),"",INDIRECT("'SorP'!$A$"&amp;MATCH($S1396&amp;$J1396,SorP!C:C,0))))</f>
        <v>CN-HN</v>
      </c>
      <c r="U1396" s="201"/>
      <c r="V1396" s="226" t="e">
        <f>IF(C1396="",NA(),IF(OR(C1396="Smelter not listed",C1396="Smelter not yet identified"),MATCH($B1396&amp;$D1396,'Smelter Look-up'!$J:$J,0),MATCH($B1396&amp;$C1396,'Smelter Look-up'!$J:$J,0)))</f>
        <v>#N/A</v>
      </c>
      <c r="X1396" s="227">
        <f t="shared" si="195"/>
        <v>0</v>
      </c>
      <c r="AB1396" s="228" t="str">
        <f t="shared" si="196"/>
        <v>TungstenHunan Chuangda Vanadium Tungsten Co., Ltd. Wuji</v>
      </c>
    </row>
    <row r="1397" spans="1:28" s="227" customFormat="1" ht="108">
      <c r="A1397" s="301" t="s">
        <v>789</v>
      </c>
      <c r="B1397" s="293" t="s">
        <v>1122</v>
      </c>
      <c r="C1397" s="294" t="s">
        <v>1369</v>
      </c>
      <c r="D1397" s="295" t="s">
        <v>1369</v>
      </c>
      <c r="E1397" s="293" t="s">
        <v>1090</v>
      </c>
      <c r="F1397" s="293" t="s">
        <v>789</v>
      </c>
      <c r="G1397" s="293" t="s">
        <v>13217</v>
      </c>
      <c r="H1397" s="296" t="s">
        <v>15855</v>
      </c>
      <c r="I1397" s="297" t="s">
        <v>1728</v>
      </c>
      <c r="J1397" s="297" t="s">
        <v>13600</v>
      </c>
      <c r="K1397" s="298" t="s">
        <v>15855</v>
      </c>
      <c r="L1397" s="298" t="s">
        <v>15855</v>
      </c>
      <c r="M1397" s="298" t="s">
        <v>15855</v>
      </c>
      <c r="N1397" s="298" t="s">
        <v>15855</v>
      </c>
      <c r="O1397" s="298" t="s">
        <v>15855</v>
      </c>
      <c r="P1397" s="299" t="s">
        <v>15857</v>
      </c>
      <c r="Q1397" s="300" t="s">
        <v>15855</v>
      </c>
      <c r="R1397" s="182" t="str">
        <f ca="1">IF(ISERROR($V1397),"",OFFSET('Smelter Look-up'!$C$4,$V1397-4,0)&amp;"")</f>
        <v>Hunan Jintai New Material Co., Ltd.</v>
      </c>
      <c r="S1397" s="181" t="str">
        <f t="shared" ca="1" si="194"/>
        <v>CN</v>
      </c>
      <c r="T1397" s="181" t="str">
        <f ca="1">IF(B1397="","",IF(ISERROR(MATCH($J1397,SorP!$B$1:$B$6226,0)),"",INDIRECT("'SorP'!$A$"&amp;MATCH($S1397&amp;$J1397,SorP!C:C,0))))</f>
        <v>CN-HN</v>
      </c>
      <c r="U1397" s="201"/>
      <c r="V1397" s="226">
        <f>IF(C1397="",NA(),IF(OR(C1397="Smelter not listed",C1397="Smelter not yet identified"),MATCH($B1397&amp;$D1397,'Smelter Look-up'!$J:$J,0),MATCH($B1397&amp;$C1397,'Smelter Look-up'!$J:$J,0)))</f>
        <v>615</v>
      </c>
      <c r="X1397" s="227">
        <f t="shared" si="195"/>
        <v>0</v>
      </c>
      <c r="AB1397" s="228" t="str">
        <f t="shared" si="196"/>
        <v>TungstenHunan Chunchang Nonferrous Metals Co., Ltd.</v>
      </c>
    </row>
    <row r="1398" spans="1:28" s="227" customFormat="1" ht="108">
      <c r="A1398" s="301" t="s">
        <v>789</v>
      </c>
      <c r="B1398" s="293" t="s">
        <v>1122</v>
      </c>
      <c r="C1398" s="294" t="s">
        <v>1369</v>
      </c>
      <c r="D1398" s="295" t="s">
        <v>1369</v>
      </c>
      <c r="E1398" s="293" t="s">
        <v>1090</v>
      </c>
      <c r="F1398" s="293" t="s">
        <v>789</v>
      </c>
      <c r="G1398" s="293" t="s">
        <v>13217</v>
      </c>
      <c r="H1398" s="296" t="s">
        <v>15855</v>
      </c>
      <c r="I1398" s="297" t="s">
        <v>1728</v>
      </c>
      <c r="J1398" s="297" t="s">
        <v>13600</v>
      </c>
      <c r="K1398" s="298" t="s">
        <v>17031</v>
      </c>
      <c r="L1398" s="298" t="s">
        <v>17032</v>
      </c>
      <c r="M1398" s="298" t="s">
        <v>15892</v>
      </c>
      <c r="N1398" s="298" t="s">
        <v>17033</v>
      </c>
      <c r="O1398" s="298" t="s">
        <v>15994</v>
      </c>
      <c r="P1398" s="299" t="s">
        <v>15857</v>
      </c>
      <c r="Q1398" s="300" t="s">
        <v>15855</v>
      </c>
      <c r="R1398" s="182" t="str">
        <f ca="1">IF(ISERROR($V1398),"",OFFSET('Smelter Look-up'!$C$4,$V1398-4,0)&amp;"")</f>
        <v>Hunan Jintai New Material Co., Ltd.</v>
      </c>
      <c r="S1398" s="181" t="str">
        <f t="shared" ca="1" si="194"/>
        <v>CN</v>
      </c>
      <c r="T1398" s="181" t="str">
        <f ca="1">IF(B1398="","",IF(ISERROR(MATCH($J1398,SorP!$B$1:$B$6226,0)),"",INDIRECT("'SorP'!$A$"&amp;MATCH($S1398&amp;$J1398,SorP!C:C,0))))</f>
        <v>CN-HN</v>
      </c>
      <c r="U1398" s="201"/>
      <c r="V1398" s="226">
        <f>IF(C1398="",NA(),IF(OR(C1398="Smelter not listed",C1398="Smelter not yet identified"),MATCH($B1398&amp;$D1398,'Smelter Look-up'!$J:$J,0),MATCH($B1398&amp;$C1398,'Smelter Look-up'!$J:$J,0)))</f>
        <v>615</v>
      </c>
      <c r="X1398" s="227">
        <f t="shared" si="195"/>
        <v>0</v>
      </c>
      <c r="AB1398" s="228" t="str">
        <f t="shared" si="196"/>
        <v>TungstenHunan Chunchang Nonferrous Metals Co., Ltd.</v>
      </c>
    </row>
    <row r="1399" spans="1:28" s="227" customFormat="1" ht="108">
      <c r="A1399" s="301" t="s">
        <v>789</v>
      </c>
      <c r="B1399" s="293" t="s">
        <v>1122</v>
      </c>
      <c r="C1399" s="294" t="s">
        <v>1369</v>
      </c>
      <c r="D1399" s="295" t="s">
        <v>1369</v>
      </c>
      <c r="E1399" s="293" t="s">
        <v>1090</v>
      </c>
      <c r="F1399" s="293" t="s">
        <v>789</v>
      </c>
      <c r="G1399" s="293" t="s">
        <v>13217</v>
      </c>
      <c r="H1399" s="302" t="s">
        <v>15880</v>
      </c>
      <c r="I1399" s="297" t="s">
        <v>1728</v>
      </c>
      <c r="J1399" s="297" t="s">
        <v>17034</v>
      </c>
      <c r="K1399" s="298" t="s">
        <v>15855</v>
      </c>
      <c r="L1399" s="298" t="s">
        <v>15855</v>
      </c>
      <c r="M1399" s="298" t="s">
        <v>15855</v>
      </c>
      <c r="N1399" s="298" t="s">
        <v>15855</v>
      </c>
      <c r="O1399" s="298" t="s">
        <v>15855</v>
      </c>
      <c r="P1399" s="299" t="s">
        <v>15857</v>
      </c>
      <c r="Q1399" s="300" t="s">
        <v>15855</v>
      </c>
      <c r="R1399" s="182" t="str">
        <f ca="1">IF(ISERROR($V1399),"",OFFSET('Smelter Look-up'!$C$4,$V1399-4,0)&amp;"")</f>
        <v>Hunan Jintai New Material Co., Ltd.</v>
      </c>
      <c r="S1399" s="181" t="str">
        <f t="shared" ca="1" si="194"/>
        <v>CN</v>
      </c>
      <c r="T1399" s="181" t="str">
        <f ca="1">IF(B1399="","",IF(ISERROR(MATCH($J1399,SorP!$B$1:$B$6226,0)),"",INDIRECT("'SorP'!$A$"&amp;MATCH($S1399&amp;$J1399,SorP!C:C,0))))</f>
        <v/>
      </c>
      <c r="U1399" s="201"/>
      <c r="V1399" s="226">
        <f>IF(C1399="",NA(),IF(OR(C1399="Smelter not listed",C1399="Smelter not yet identified"),MATCH($B1399&amp;$D1399,'Smelter Look-up'!$J:$J,0),MATCH($B1399&amp;$C1399,'Smelter Look-up'!$J:$J,0)))</f>
        <v>615</v>
      </c>
      <c r="X1399" s="227">
        <f t="shared" si="195"/>
        <v>0</v>
      </c>
      <c r="AB1399" s="228" t="str">
        <f t="shared" si="196"/>
        <v>TungstenHunan Chunchang Nonferrous Metals Co., Ltd.</v>
      </c>
    </row>
    <row r="1400" spans="1:28" s="227" customFormat="1" ht="108">
      <c r="A1400" s="301" t="s">
        <v>789</v>
      </c>
      <c r="B1400" s="293" t="s">
        <v>1122</v>
      </c>
      <c r="C1400" s="294" t="s">
        <v>1369</v>
      </c>
      <c r="D1400" s="295" t="s">
        <v>1369</v>
      </c>
      <c r="E1400" s="293" t="s">
        <v>1090</v>
      </c>
      <c r="F1400" s="293" t="s">
        <v>789</v>
      </c>
      <c r="G1400" s="293" t="s">
        <v>13217</v>
      </c>
      <c r="H1400" s="302" t="s">
        <v>15880</v>
      </c>
      <c r="I1400" s="297" t="s">
        <v>1728</v>
      </c>
      <c r="J1400" s="297" t="s">
        <v>13600</v>
      </c>
      <c r="K1400" s="298" t="s">
        <v>15855</v>
      </c>
      <c r="L1400" s="298" t="s">
        <v>15855</v>
      </c>
      <c r="M1400" s="298" t="s">
        <v>15855</v>
      </c>
      <c r="N1400" s="298" t="s">
        <v>15855</v>
      </c>
      <c r="O1400" s="298" t="s">
        <v>15855</v>
      </c>
      <c r="P1400" s="299" t="s">
        <v>15857</v>
      </c>
      <c r="Q1400" s="300" t="s">
        <v>15855</v>
      </c>
      <c r="R1400" s="182" t="str">
        <f ca="1">IF(ISERROR($V1400),"",OFFSET('Smelter Look-up'!$C$4,$V1400-4,0)&amp;"")</f>
        <v>Hunan Jintai New Material Co., Ltd.</v>
      </c>
      <c r="S1400" s="181" t="str">
        <f t="shared" ca="1" si="194"/>
        <v>CN</v>
      </c>
      <c r="T1400" s="181" t="str">
        <f ca="1">IF(B1400="","",IF(ISERROR(MATCH($J1400,SorP!$B$1:$B$6226,0)),"",INDIRECT("'SorP'!$A$"&amp;MATCH($S1400&amp;$J1400,SorP!C:C,0))))</f>
        <v>CN-HN</v>
      </c>
      <c r="U1400" s="201"/>
      <c r="V1400" s="226">
        <f>IF(C1400="",NA(),IF(OR(C1400="Smelter not listed",C1400="Smelter not yet identified"),MATCH($B1400&amp;$D1400,'Smelter Look-up'!$J:$J,0),MATCH($B1400&amp;$C1400,'Smelter Look-up'!$J:$J,0)))</f>
        <v>615</v>
      </c>
      <c r="X1400" s="227">
        <f t="shared" si="195"/>
        <v>0</v>
      </c>
      <c r="AB1400" s="228" t="str">
        <f t="shared" si="196"/>
        <v>TungstenHunan Chunchang Nonferrous Metals Co., Ltd.</v>
      </c>
    </row>
    <row r="1401" spans="1:28" s="227" customFormat="1" ht="81">
      <c r="A1401" s="301" t="s">
        <v>789</v>
      </c>
      <c r="B1401" s="293" t="s">
        <v>1122</v>
      </c>
      <c r="C1401" s="294" t="s">
        <v>15519</v>
      </c>
      <c r="D1401" s="295" t="s">
        <v>15519</v>
      </c>
      <c r="E1401" s="293" t="s">
        <v>1090</v>
      </c>
      <c r="F1401" s="293" t="s">
        <v>789</v>
      </c>
      <c r="G1401" s="293" t="s">
        <v>13217</v>
      </c>
      <c r="H1401" s="296" t="s">
        <v>15855</v>
      </c>
      <c r="I1401" s="297" t="s">
        <v>1728</v>
      </c>
      <c r="J1401" s="297" t="s">
        <v>13600</v>
      </c>
      <c r="K1401" s="298" t="s">
        <v>15855</v>
      </c>
      <c r="L1401" s="298" t="s">
        <v>15855</v>
      </c>
      <c r="M1401" s="298" t="s">
        <v>15855</v>
      </c>
      <c r="N1401" s="298" t="s">
        <v>15855</v>
      </c>
      <c r="O1401" s="298" t="s">
        <v>16125</v>
      </c>
      <c r="P1401" s="299" t="s">
        <v>15857</v>
      </c>
      <c r="Q1401" s="300" t="s">
        <v>15855</v>
      </c>
      <c r="R1401" s="182" t="str">
        <f ca="1">IF(ISERROR($V1401),"",OFFSET('Smelter Look-up'!$C$4,$V1401-4,0)&amp;"")</f>
        <v>Hunan Jintai New Material Co., Ltd.</v>
      </c>
      <c r="S1401" s="181" t="str">
        <f t="shared" ca="1" si="194"/>
        <v>CN</v>
      </c>
      <c r="T1401" s="181" t="str">
        <f ca="1">IF(B1401="","",IF(ISERROR(MATCH($J1401,SorP!$B$1:$B$6226,0)),"",INDIRECT("'SorP'!$A$"&amp;MATCH($S1401&amp;$J1401,SorP!C:C,0))))</f>
        <v>CN-HN</v>
      </c>
      <c r="U1401" s="201"/>
      <c r="V1401" s="226">
        <f>IF(C1401="",NA(),IF(OR(C1401="Smelter not listed",C1401="Smelter not yet identified"),MATCH($B1401&amp;$D1401,'Smelter Look-up'!$J:$J,0),MATCH($B1401&amp;$C1401,'Smelter Look-up'!$J:$J,0)))</f>
        <v>616</v>
      </c>
      <c r="X1401" s="227">
        <f t="shared" si="195"/>
        <v>0</v>
      </c>
      <c r="AB1401" s="228" t="str">
        <f t="shared" si="196"/>
        <v>TungstenHunan Jintai New Material Co., Ltd.</v>
      </c>
    </row>
    <row r="1402" spans="1:28" s="227" customFormat="1" ht="175.5">
      <c r="A1402" s="301" t="s">
        <v>1394</v>
      </c>
      <c r="B1402" s="293" t="s">
        <v>1122</v>
      </c>
      <c r="C1402" s="294" t="s">
        <v>15514</v>
      </c>
      <c r="D1402" s="295" t="s">
        <v>15514</v>
      </c>
      <c r="E1402" s="293" t="s">
        <v>1090</v>
      </c>
      <c r="F1402" s="293" t="s">
        <v>1394</v>
      </c>
      <c r="G1402" s="293" t="s">
        <v>13217</v>
      </c>
      <c r="H1402" s="296" t="s">
        <v>15855</v>
      </c>
      <c r="I1402" s="297" t="s">
        <v>1760</v>
      </c>
      <c r="J1402" s="297" t="s">
        <v>13600</v>
      </c>
      <c r="K1402" s="298" t="s">
        <v>15855</v>
      </c>
      <c r="L1402" s="298" t="s">
        <v>15855</v>
      </c>
      <c r="M1402" s="298" t="s">
        <v>15855</v>
      </c>
      <c r="N1402" s="298" t="s">
        <v>15855</v>
      </c>
      <c r="O1402" s="298" t="s">
        <v>15855</v>
      </c>
      <c r="P1402" s="299" t="s">
        <v>15857</v>
      </c>
      <c r="Q1402" s="300" t="s">
        <v>15855</v>
      </c>
      <c r="R1402" s="182" t="str">
        <f ca="1">IF(ISERROR($V1402),"",OFFSET('Smelter Look-up'!$C$4,$V1402-4,0)&amp;"")</f>
        <v>Hunan Shizhuyuan Nonferrous Metals Co., Ltd. Chenzhou Tungsten Products Branch</v>
      </c>
      <c r="S1402" s="181" t="str">
        <f t="shared" ca="1" si="194"/>
        <v>CN</v>
      </c>
      <c r="T1402" s="181" t="str">
        <f ca="1">IF(B1402="","",IF(ISERROR(MATCH($J1402,SorP!$B$1:$B$6226,0)),"",INDIRECT("'SorP'!$A$"&amp;MATCH($S1402&amp;$J1402,SorP!C:C,0))))</f>
        <v>CN-HN</v>
      </c>
      <c r="U1402" s="201"/>
      <c r="V1402" s="226">
        <f>IF(C1402="",NA(),IF(OR(C1402="Smelter not listed",C1402="Smelter not yet identified"),MATCH($B1402&amp;$D1402,'Smelter Look-up'!$J:$J,0),MATCH($B1402&amp;$C1402,'Smelter Look-up'!$J:$J,0)))</f>
        <v>617</v>
      </c>
      <c r="X1402" s="227">
        <f t="shared" si="195"/>
        <v>0</v>
      </c>
      <c r="AB1402" s="228" t="str">
        <f t="shared" si="196"/>
        <v>TungstenHunan Shizhuyuan Nonferrous Metals Co., Ltd. Chenzhou Tungsten Products Branch</v>
      </c>
    </row>
    <row r="1403" spans="1:28" s="227" customFormat="1" ht="175.5">
      <c r="A1403" s="301" t="s">
        <v>1394</v>
      </c>
      <c r="B1403" s="293" t="s">
        <v>1122</v>
      </c>
      <c r="C1403" s="294" t="s">
        <v>15514</v>
      </c>
      <c r="D1403" s="295" t="s">
        <v>15514</v>
      </c>
      <c r="E1403" s="293" t="s">
        <v>1090</v>
      </c>
      <c r="F1403" s="293" t="s">
        <v>1394</v>
      </c>
      <c r="G1403" s="293" t="s">
        <v>13217</v>
      </c>
      <c r="H1403" s="296" t="s">
        <v>15855</v>
      </c>
      <c r="I1403" s="297" t="s">
        <v>1760</v>
      </c>
      <c r="J1403" s="297" t="s">
        <v>13600</v>
      </c>
      <c r="K1403" s="298" t="s">
        <v>15855</v>
      </c>
      <c r="L1403" s="298" t="s">
        <v>15855</v>
      </c>
      <c r="M1403" s="298" t="s">
        <v>15855</v>
      </c>
      <c r="N1403" s="298" t="s">
        <v>15855</v>
      </c>
      <c r="O1403" s="298" t="s">
        <v>15989</v>
      </c>
      <c r="P1403" s="299" t="s">
        <v>15857</v>
      </c>
      <c r="Q1403" s="300" t="s">
        <v>16950</v>
      </c>
      <c r="R1403" s="182" t="str">
        <f ca="1">IF(ISERROR($V1403),"",OFFSET('Smelter Look-up'!$C$4,$V1403-4,0)&amp;"")</f>
        <v>Hunan Shizhuyuan Nonferrous Metals Co., Ltd. Chenzhou Tungsten Products Branch</v>
      </c>
      <c r="S1403" s="181" t="str">
        <f t="shared" ref="S1403" ca="1" si="197">IF(B1403="","",IF(ISERROR(MATCH($E1403,CL,0)),"Unknown",INDIRECT("'C'!$A$"&amp;MATCH($E1403,CL,0)+1)))</f>
        <v>CN</v>
      </c>
      <c r="T1403" s="181" t="str">
        <f ca="1">IF(B1403="","",IF(ISERROR(MATCH($J1403,SorP!$B$1:$B$6226,0)),"",INDIRECT("'SorP'!$A$"&amp;MATCH($S1403&amp;$J1403,SorP!C:C,0))))</f>
        <v>CN-HN</v>
      </c>
      <c r="U1403" s="201"/>
      <c r="V1403" s="226">
        <f>IF(C1403="",NA(),IF(OR(C1403="Smelter not listed",C1403="Smelter not yet identified"),MATCH($B1403&amp;$D1403,'Smelter Look-up'!$J:$J,0),MATCH($B1403&amp;$C1403,'Smelter Look-up'!$J:$J,0)))</f>
        <v>617</v>
      </c>
      <c r="X1403" s="227">
        <f t="shared" ref="X1403" si="198">IF(AND(C1403="Smelter not listed",OR(LEN(D1403)=0,LEN(E1403)=0)),1,0)</f>
        <v>0</v>
      </c>
      <c r="AB1403" s="228" t="str">
        <f t="shared" ref="AB1403" si="199">B1403&amp;C1403</f>
        <v>TungstenHunan Shizhuyuan Nonferrous Metals Co., Ltd. Chenzhou Tungsten Products Branch</v>
      </c>
    </row>
    <row r="1404" spans="1:28" s="227" customFormat="1" ht="175.5">
      <c r="A1404" s="301" t="s">
        <v>1394</v>
      </c>
      <c r="B1404" s="293" t="s">
        <v>1122</v>
      </c>
      <c r="C1404" s="294" t="s">
        <v>15514</v>
      </c>
      <c r="D1404" s="295" t="s">
        <v>15514</v>
      </c>
      <c r="E1404" s="293" t="s">
        <v>1090</v>
      </c>
      <c r="F1404" s="293" t="s">
        <v>1394</v>
      </c>
      <c r="G1404" s="293" t="s">
        <v>13217</v>
      </c>
      <c r="H1404" s="296" t="s">
        <v>15855</v>
      </c>
      <c r="I1404" s="297" t="s">
        <v>1760</v>
      </c>
      <c r="J1404" s="297" t="s">
        <v>13600</v>
      </c>
      <c r="K1404" s="298" t="s">
        <v>15855</v>
      </c>
      <c r="L1404" s="298" t="s">
        <v>15855</v>
      </c>
      <c r="M1404" s="298" t="s">
        <v>15855</v>
      </c>
      <c r="N1404" s="298" t="s">
        <v>15855</v>
      </c>
      <c r="O1404" s="298" t="s">
        <v>16125</v>
      </c>
      <c r="P1404" s="299" t="s">
        <v>15857</v>
      </c>
      <c r="Q1404" s="300" t="s">
        <v>15855</v>
      </c>
      <c r="R1404" s="182" t="str">
        <f ca="1">IF(ISERROR($V1404),"",OFFSET('Smelter Look-up'!$C$4,$V1404-4,0)&amp;"")</f>
        <v>Hunan Shizhuyuan Nonferrous Metals Co., Ltd. Chenzhou Tungsten Products Branch</v>
      </c>
      <c r="S1404" s="181" t="str">
        <f t="shared" ref="S1404:S1435" ca="1" si="200">IF(B1404="","",IF(ISERROR(MATCH($E1404,CL,0)),"Unknown",INDIRECT("'C'!$A$"&amp;MATCH($E1404,CL,0)+1)))</f>
        <v>CN</v>
      </c>
      <c r="T1404" s="181" t="str">
        <f ca="1">IF(B1404="","",IF(ISERROR(MATCH($J1404,SorP!$B$1:$B$6226,0)),"",INDIRECT("'SorP'!$A$"&amp;MATCH($S1404&amp;$J1404,SorP!C:C,0))))</f>
        <v>CN-HN</v>
      </c>
      <c r="U1404" s="201"/>
      <c r="V1404" s="226">
        <f>IF(C1404="",NA(),IF(OR(C1404="Smelter not listed",C1404="Smelter not yet identified"),MATCH($B1404&amp;$D1404,'Smelter Look-up'!$J:$J,0),MATCH($B1404&amp;$C1404,'Smelter Look-up'!$J:$J,0)))</f>
        <v>617</v>
      </c>
      <c r="X1404" s="227">
        <f t="shared" ref="X1404:X1435" si="201">IF(AND(C1404="Smelter not listed",OR(LEN(D1404)=0,LEN(E1404)=0)),1,0)</f>
        <v>0</v>
      </c>
      <c r="AB1404" s="228" t="str">
        <f t="shared" ref="AB1404:AB1435" si="202">B1404&amp;C1404</f>
        <v>TungstenHunan Shizhuyuan Nonferrous Metals Co., Ltd. Chenzhou Tungsten Products Branch</v>
      </c>
    </row>
    <row r="1405" spans="1:28" s="227" customFormat="1" ht="175.5">
      <c r="A1405" s="301" t="s">
        <v>1394</v>
      </c>
      <c r="B1405" s="293" t="s">
        <v>1122</v>
      </c>
      <c r="C1405" s="294" t="s">
        <v>15514</v>
      </c>
      <c r="D1405" s="295" t="s">
        <v>15514</v>
      </c>
      <c r="E1405" s="293" t="s">
        <v>1090</v>
      </c>
      <c r="F1405" s="293" t="s">
        <v>1394</v>
      </c>
      <c r="G1405" s="293" t="s">
        <v>13217</v>
      </c>
      <c r="H1405" s="302" t="s">
        <v>15880</v>
      </c>
      <c r="I1405" s="297" t="s">
        <v>1760</v>
      </c>
      <c r="J1405" s="297" t="s">
        <v>13600</v>
      </c>
      <c r="K1405" s="298" t="s">
        <v>15855</v>
      </c>
      <c r="L1405" s="298" t="s">
        <v>15855</v>
      </c>
      <c r="M1405" s="298" t="s">
        <v>15855</v>
      </c>
      <c r="N1405" s="298" t="s">
        <v>15855</v>
      </c>
      <c r="O1405" s="298" t="s">
        <v>15855</v>
      </c>
      <c r="P1405" s="299" t="s">
        <v>15857</v>
      </c>
      <c r="Q1405" s="300" t="s">
        <v>15855</v>
      </c>
      <c r="R1405" s="182" t="str">
        <f ca="1">IF(ISERROR($V1405),"",OFFSET('Smelter Look-up'!$C$4,$V1405-4,0)&amp;"")</f>
        <v>Hunan Shizhuyuan Nonferrous Metals Co., Ltd. Chenzhou Tungsten Products Branch</v>
      </c>
      <c r="S1405" s="181" t="str">
        <f t="shared" ca="1" si="200"/>
        <v>CN</v>
      </c>
      <c r="T1405" s="181" t="str">
        <f ca="1">IF(B1405="","",IF(ISERROR(MATCH($J1405,SorP!$B$1:$B$6226,0)),"",INDIRECT("'SorP'!$A$"&amp;MATCH($S1405&amp;$J1405,SorP!C:C,0))))</f>
        <v>CN-HN</v>
      </c>
      <c r="U1405" s="201"/>
      <c r="V1405" s="226">
        <f>IF(C1405="",NA(),IF(OR(C1405="Smelter not listed",C1405="Smelter not yet identified"),MATCH($B1405&amp;$D1405,'Smelter Look-up'!$J:$J,0),MATCH($B1405&amp;$C1405,'Smelter Look-up'!$J:$J,0)))</f>
        <v>617</v>
      </c>
      <c r="X1405" s="227">
        <f t="shared" si="201"/>
        <v>0</v>
      </c>
      <c r="AB1405" s="228" t="str">
        <f t="shared" si="202"/>
        <v>TungstenHunan Shizhuyuan Nonferrous Metals Co., Ltd. Chenzhou Tungsten Products Branch</v>
      </c>
    </row>
    <row r="1406" spans="1:28" s="227" customFormat="1" ht="54">
      <c r="A1406" s="301" t="s">
        <v>1828</v>
      </c>
      <c r="B1406" s="293" t="s">
        <v>1122</v>
      </c>
      <c r="C1406" s="294" t="s">
        <v>1827</v>
      </c>
      <c r="D1406" s="295" t="s">
        <v>1827</v>
      </c>
      <c r="E1406" s="293" t="s">
        <v>873</v>
      </c>
      <c r="F1406" s="293" t="s">
        <v>1828</v>
      </c>
      <c r="G1406" s="293" t="s">
        <v>13217</v>
      </c>
      <c r="H1406" s="296" t="s">
        <v>15855</v>
      </c>
      <c r="I1406" s="297" t="s">
        <v>1829</v>
      </c>
      <c r="J1406" s="297" t="s">
        <v>10004</v>
      </c>
      <c r="K1406" s="298" t="s">
        <v>15855</v>
      </c>
      <c r="L1406" s="298" t="s">
        <v>15855</v>
      </c>
      <c r="M1406" s="298" t="s">
        <v>15855</v>
      </c>
      <c r="N1406" s="298" t="s">
        <v>15855</v>
      </c>
      <c r="O1406" s="298" t="s">
        <v>15855</v>
      </c>
      <c r="P1406" s="299" t="s">
        <v>15857</v>
      </c>
      <c r="Q1406" s="300" t="s">
        <v>15855</v>
      </c>
      <c r="R1406" s="182" t="str">
        <f ca="1">IF(ISERROR($V1406),"",OFFSET('Smelter Look-up'!$C$4,$V1406-4,0)&amp;"")</f>
        <v>Hydrometallurg, JSC</v>
      </c>
      <c r="S1406" s="181" t="str">
        <f t="shared" ca="1" si="200"/>
        <v>RU</v>
      </c>
      <c r="T1406" s="181" t="str">
        <f ca="1">IF(B1406="","",IF(ISERROR(MATCH($J1406,SorP!$B$1:$B$6226,0)),"",INDIRECT("'SorP'!$A$"&amp;MATCH($S1406&amp;$J1406,SorP!C:C,0))))</f>
        <v>RU-KB</v>
      </c>
      <c r="U1406" s="201"/>
      <c r="V1406" s="226">
        <f>IF(C1406="",NA(),IF(OR(C1406="Smelter not listed",C1406="Smelter not yet identified"),MATCH($B1406&amp;$D1406,'Smelter Look-up'!$J:$J,0),MATCH($B1406&amp;$C1406,'Smelter Look-up'!$J:$J,0)))</f>
        <v>618</v>
      </c>
      <c r="X1406" s="227">
        <f t="shared" si="201"/>
        <v>0</v>
      </c>
      <c r="AB1406" s="228" t="str">
        <f t="shared" si="202"/>
        <v>TungstenHydrometallurg, JSC</v>
      </c>
    </row>
    <row r="1407" spans="1:28" s="227" customFormat="1" ht="54">
      <c r="A1407" s="301" t="s">
        <v>1828</v>
      </c>
      <c r="B1407" s="293" t="s">
        <v>1122</v>
      </c>
      <c r="C1407" s="294" t="s">
        <v>1827</v>
      </c>
      <c r="D1407" s="295" t="s">
        <v>1827</v>
      </c>
      <c r="E1407" s="293" t="s">
        <v>873</v>
      </c>
      <c r="F1407" s="293" t="s">
        <v>1828</v>
      </c>
      <c r="G1407" s="293" t="s">
        <v>13217</v>
      </c>
      <c r="H1407" s="296" t="s">
        <v>15855</v>
      </c>
      <c r="I1407" s="297" t="s">
        <v>1829</v>
      </c>
      <c r="J1407" s="297" t="s">
        <v>10004</v>
      </c>
      <c r="K1407" s="298" t="s">
        <v>15855</v>
      </c>
      <c r="L1407" s="298" t="s">
        <v>15855</v>
      </c>
      <c r="M1407" s="298" t="s">
        <v>15855</v>
      </c>
      <c r="N1407" s="298" t="s">
        <v>15855</v>
      </c>
      <c r="O1407" s="298" t="s">
        <v>15858</v>
      </c>
      <c r="P1407" s="299" t="s">
        <v>15857</v>
      </c>
      <c r="Q1407" s="300" t="s">
        <v>15855</v>
      </c>
      <c r="R1407" s="182" t="str">
        <f ca="1">IF(ISERROR($V1407),"",OFFSET('Smelter Look-up'!$C$4,$V1407-4,0)&amp;"")</f>
        <v>Hydrometallurg, JSC</v>
      </c>
      <c r="S1407" s="181" t="str">
        <f t="shared" ca="1" si="200"/>
        <v>RU</v>
      </c>
      <c r="T1407" s="181" t="str">
        <f ca="1">IF(B1407="","",IF(ISERROR(MATCH($J1407,SorP!$B$1:$B$6226,0)),"",INDIRECT("'SorP'!$A$"&amp;MATCH($S1407&amp;$J1407,SorP!C:C,0))))</f>
        <v>RU-KB</v>
      </c>
      <c r="U1407" s="201"/>
      <c r="V1407" s="226">
        <f>IF(C1407="",NA(),IF(OR(C1407="Smelter not listed",C1407="Smelter not yet identified"),MATCH($B1407&amp;$D1407,'Smelter Look-up'!$J:$J,0),MATCH($B1407&amp;$C1407,'Smelter Look-up'!$J:$J,0)))</f>
        <v>618</v>
      </c>
      <c r="X1407" s="227">
        <f t="shared" si="201"/>
        <v>0</v>
      </c>
      <c r="AB1407" s="228" t="str">
        <f t="shared" si="202"/>
        <v>TungstenHydrometallurg, JSC</v>
      </c>
    </row>
    <row r="1408" spans="1:28" s="227" customFormat="1" ht="54">
      <c r="A1408" s="301" t="s">
        <v>1828</v>
      </c>
      <c r="B1408" s="293" t="s">
        <v>1122</v>
      </c>
      <c r="C1408" s="294" t="s">
        <v>1827</v>
      </c>
      <c r="D1408" s="295" t="s">
        <v>1827</v>
      </c>
      <c r="E1408" s="293" t="s">
        <v>873</v>
      </c>
      <c r="F1408" s="293" t="s">
        <v>1828</v>
      </c>
      <c r="G1408" s="293" t="s">
        <v>13217</v>
      </c>
      <c r="H1408" s="296" t="s">
        <v>15855</v>
      </c>
      <c r="I1408" s="297" t="s">
        <v>1829</v>
      </c>
      <c r="J1408" s="297" t="s">
        <v>10004</v>
      </c>
      <c r="K1408" s="298" t="s">
        <v>17035</v>
      </c>
      <c r="L1408" s="298" t="s">
        <v>17036</v>
      </c>
      <c r="M1408" s="298" t="s">
        <v>15892</v>
      </c>
      <c r="N1408" s="298" t="s">
        <v>15870</v>
      </c>
      <c r="O1408" s="298" t="s">
        <v>16953</v>
      </c>
      <c r="P1408" s="299" t="s">
        <v>15857</v>
      </c>
      <c r="Q1408" s="300" t="s">
        <v>15855</v>
      </c>
      <c r="R1408" s="182" t="str">
        <f ca="1">IF(ISERROR($V1408),"",OFFSET('Smelter Look-up'!$C$4,$V1408-4,0)&amp;"")</f>
        <v>Hydrometallurg, JSC</v>
      </c>
      <c r="S1408" s="181" t="str">
        <f t="shared" ca="1" si="200"/>
        <v>RU</v>
      </c>
      <c r="T1408" s="181" t="str">
        <f ca="1">IF(B1408="","",IF(ISERROR(MATCH($J1408,SorP!$B$1:$B$6226,0)),"",INDIRECT("'SorP'!$A$"&amp;MATCH($S1408&amp;$J1408,SorP!C:C,0))))</f>
        <v>RU-KB</v>
      </c>
      <c r="U1408" s="201"/>
      <c r="V1408" s="226">
        <f>IF(C1408="",NA(),IF(OR(C1408="Smelter not listed",C1408="Smelter not yet identified"),MATCH($B1408&amp;$D1408,'Smelter Look-up'!$J:$J,0),MATCH($B1408&amp;$C1408,'Smelter Look-up'!$J:$J,0)))</f>
        <v>618</v>
      </c>
      <c r="X1408" s="227">
        <f t="shared" si="201"/>
        <v>0</v>
      </c>
      <c r="AB1408" s="228" t="str">
        <f t="shared" si="202"/>
        <v>TungstenHydrometallurg, JSC</v>
      </c>
    </row>
    <row r="1409" spans="1:28" s="227" customFormat="1" ht="67.5">
      <c r="A1409" s="301" t="s">
        <v>790</v>
      </c>
      <c r="B1409" s="293" t="s">
        <v>1122</v>
      </c>
      <c r="C1409" s="294" t="s">
        <v>1370</v>
      </c>
      <c r="D1409" s="295" t="s">
        <v>1370</v>
      </c>
      <c r="E1409" s="293" t="s">
        <v>1098</v>
      </c>
      <c r="F1409" s="293" t="s">
        <v>790</v>
      </c>
      <c r="G1409" s="293" t="s">
        <v>13217</v>
      </c>
      <c r="H1409" s="296" t="s">
        <v>15855</v>
      </c>
      <c r="I1409" s="297" t="s">
        <v>2119</v>
      </c>
      <c r="J1409" s="297" t="s">
        <v>1568</v>
      </c>
      <c r="K1409" s="298" t="s">
        <v>15855</v>
      </c>
      <c r="L1409" s="298" t="s">
        <v>15855</v>
      </c>
      <c r="M1409" s="298" t="s">
        <v>15855</v>
      </c>
      <c r="N1409" s="298" t="s">
        <v>15855</v>
      </c>
      <c r="O1409" s="298" t="s">
        <v>15855</v>
      </c>
      <c r="P1409" s="299" t="s">
        <v>15857</v>
      </c>
      <c r="Q1409" s="300" t="s">
        <v>15855</v>
      </c>
      <c r="R1409" s="182" t="str">
        <f ca="1">IF(ISERROR($V1409),"",OFFSET('Smelter Look-up'!$C$4,$V1409-4,0)&amp;"")</f>
        <v>Japan New Metals Co., Ltd.</v>
      </c>
      <c r="S1409" s="181" t="str">
        <f t="shared" ca="1" si="200"/>
        <v>JP</v>
      </c>
      <c r="T1409" s="181" t="str">
        <f ca="1">IF(B1409="","",IF(ISERROR(MATCH($J1409,SorP!$B$1:$B$6226,0)),"",INDIRECT("'SorP'!$A$"&amp;MATCH($S1409&amp;$J1409,SorP!C:C,0))))</f>
        <v>JP-05</v>
      </c>
      <c r="U1409" s="201"/>
      <c r="V1409" s="226">
        <f>IF(C1409="",NA(),IF(OR(C1409="Smelter not listed",C1409="Smelter not yet identified"),MATCH($B1409&amp;$D1409,'Smelter Look-up'!$J:$J,0),MATCH($B1409&amp;$C1409,'Smelter Look-up'!$J:$J,0)))</f>
        <v>619</v>
      </c>
      <c r="X1409" s="227">
        <f t="shared" si="201"/>
        <v>0</v>
      </c>
      <c r="AB1409" s="228" t="str">
        <f t="shared" si="202"/>
        <v>TungstenJapan New Metals Co., Ltd.</v>
      </c>
    </row>
    <row r="1410" spans="1:28" s="227" customFormat="1" ht="67.5">
      <c r="A1410" s="301" t="s">
        <v>790</v>
      </c>
      <c r="B1410" s="293" t="s">
        <v>1122</v>
      </c>
      <c r="C1410" s="294" t="s">
        <v>1370</v>
      </c>
      <c r="D1410" s="295" t="s">
        <v>1370</v>
      </c>
      <c r="E1410" s="293" t="s">
        <v>1098</v>
      </c>
      <c r="F1410" s="293" t="s">
        <v>790</v>
      </c>
      <c r="G1410" s="293" t="s">
        <v>13217</v>
      </c>
      <c r="H1410" s="296" t="s">
        <v>15855</v>
      </c>
      <c r="I1410" s="297" t="s">
        <v>2119</v>
      </c>
      <c r="J1410" s="297" t="s">
        <v>1568</v>
      </c>
      <c r="K1410" s="298" t="s">
        <v>15855</v>
      </c>
      <c r="L1410" s="298" t="s">
        <v>15855</v>
      </c>
      <c r="M1410" s="298" t="s">
        <v>15855</v>
      </c>
      <c r="N1410" s="298" t="s">
        <v>15855</v>
      </c>
      <c r="O1410" s="298" t="s">
        <v>15858</v>
      </c>
      <c r="P1410" s="299" t="s">
        <v>15857</v>
      </c>
      <c r="Q1410" s="300" t="s">
        <v>15855</v>
      </c>
      <c r="R1410" s="182" t="str">
        <f ca="1">IF(ISERROR($V1410),"",OFFSET('Smelter Look-up'!$C$4,$V1410-4,0)&amp;"")</f>
        <v>Japan New Metals Co., Ltd.</v>
      </c>
      <c r="S1410" s="181" t="str">
        <f t="shared" ca="1" si="200"/>
        <v>JP</v>
      </c>
      <c r="T1410" s="181" t="str">
        <f ca="1">IF(B1410="","",IF(ISERROR(MATCH($J1410,SorP!$B$1:$B$6226,0)),"",INDIRECT("'SorP'!$A$"&amp;MATCH($S1410&amp;$J1410,SorP!C:C,0))))</f>
        <v>JP-05</v>
      </c>
      <c r="U1410" s="201"/>
      <c r="V1410" s="226">
        <f>IF(C1410="",NA(),IF(OR(C1410="Smelter not listed",C1410="Smelter not yet identified"),MATCH($B1410&amp;$D1410,'Smelter Look-up'!$J:$J,0),MATCH($B1410&amp;$C1410,'Smelter Look-up'!$J:$J,0)))</f>
        <v>619</v>
      </c>
      <c r="X1410" s="227">
        <f t="shared" si="201"/>
        <v>0</v>
      </c>
      <c r="AB1410" s="228" t="str">
        <f t="shared" si="202"/>
        <v>TungstenJapan New Metals Co., Ltd.</v>
      </c>
    </row>
    <row r="1411" spans="1:28" s="227" customFormat="1" ht="67.5">
      <c r="A1411" s="301" t="s">
        <v>790</v>
      </c>
      <c r="B1411" s="293" t="s">
        <v>1122</v>
      </c>
      <c r="C1411" s="294" t="s">
        <v>1370</v>
      </c>
      <c r="D1411" s="295" t="s">
        <v>1370</v>
      </c>
      <c r="E1411" s="293" t="s">
        <v>1098</v>
      </c>
      <c r="F1411" s="293" t="s">
        <v>790</v>
      </c>
      <c r="G1411" s="293" t="s">
        <v>13217</v>
      </c>
      <c r="H1411" s="296" t="s">
        <v>15855</v>
      </c>
      <c r="I1411" s="297" t="s">
        <v>2119</v>
      </c>
      <c r="J1411" s="297" t="s">
        <v>1568</v>
      </c>
      <c r="K1411" s="298" t="s">
        <v>17037</v>
      </c>
      <c r="L1411" s="298" t="s">
        <v>17038</v>
      </c>
      <c r="M1411" s="298" t="s">
        <v>17039</v>
      </c>
      <c r="N1411" s="298" t="s">
        <v>16349</v>
      </c>
      <c r="O1411" s="298" t="s">
        <v>16368</v>
      </c>
      <c r="P1411" s="299" t="s">
        <v>15857</v>
      </c>
      <c r="Q1411" s="300" t="s">
        <v>15855</v>
      </c>
      <c r="R1411" s="182" t="str">
        <f ca="1">IF(ISERROR($V1411),"",OFFSET('Smelter Look-up'!$C$4,$V1411-4,0)&amp;"")</f>
        <v>Japan New Metals Co., Ltd.</v>
      </c>
      <c r="S1411" s="181" t="str">
        <f t="shared" ca="1" si="200"/>
        <v>JP</v>
      </c>
      <c r="T1411" s="181" t="str">
        <f ca="1">IF(B1411="","",IF(ISERROR(MATCH($J1411,SorP!$B$1:$B$6226,0)),"",INDIRECT("'SorP'!$A$"&amp;MATCH($S1411&amp;$J1411,SorP!C:C,0))))</f>
        <v>JP-05</v>
      </c>
      <c r="U1411" s="201"/>
      <c r="V1411" s="226">
        <f>IF(C1411="",NA(),IF(OR(C1411="Smelter not listed",C1411="Smelter not yet identified"),MATCH($B1411&amp;$D1411,'Smelter Look-up'!$J:$J,0),MATCH($B1411&amp;$C1411,'Smelter Look-up'!$J:$J,0)))</f>
        <v>619</v>
      </c>
      <c r="X1411" s="227">
        <f t="shared" si="201"/>
        <v>0</v>
      </c>
      <c r="AB1411" s="228" t="str">
        <f t="shared" si="202"/>
        <v>TungstenJapan New Metals Co., Ltd.</v>
      </c>
    </row>
    <row r="1412" spans="1:28" s="227" customFormat="1" ht="67.5">
      <c r="A1412" s="301" t="s">
        <v>790</v>
      </c>
      <c r="B1412" s="293" t="s">
        <v>1122</v>
      </c>
      <c r="C1412" s="294" t="s">
        <v>1370</v>
      </c>
      <c r="D1412" s="295" t="s">
        <v>1370</v>
      </c>
      <c r="E1412" s="293" t="s">
        <v>1098</v>
      </c>
      <c r="F1412" s="293" t="s">
        <v>790</v>
      </c>
      <c r="G1412" s="293" t="s">
        <v>13217</v>
      </c>
      <c r="H1412" s="302" t="s">
        <v>15880</v>
      </c>
      <c r="I1412" s="297" t="s">
        <v>2119</v>
      </c>
      <c r="J1412" s="297" t="s">
        <v>1568</v>
      </c>
      <c r="K1412" s="298" t="s">
        <v>15855</v>
      </c>
      <c r="L1412" s="298" t="s">
        <v>15855</v>
      </c>
      <c r="M1412" s="298" t="s">
        <v>15855</v>
      </c>
      <c r="N1412" s="298" t="s">
        <v>15855</v>
      </c>
      <c r="O1412" s="298" t="s">
        <v>15855</v>
      </c>
      <c r="P1412" s="299" t="s">
        <v>15857</v>
      </c>
      <c r="Q1412" s="300" t="s">
        <v>15855</v>
      </c>
      <c r="R1412" s="182" t="str">
        <f ca="1">IF(ISERROR($V1412),"",OFFSET('Smelter Look-up'!$C$4,$V1412-4,0)&amp;"")</f>
        <v>Japan New Metals Co., Ltd.</v>
      </c>
      <c r="S1412" s="181" t="str">
        <f t="shared" ca="1" si="200"/>
        <v>JP</v>
      </c>
      <c r="T1412" s="181" t="str">
        <f ca="1">IF(B1412="","",IF(ISERROR(MATCH($J1412,SorP!$B$1:$B$6226,0)),"",INDIRECT("'SorP'!$A$"&amp;MATCH($S1412&amp;$J1412,SorP!C:C,0))))</f>
        <v>JP-05</v>
      </c>
      <c r="U1412" s="201"/>
      <c r="V1412" s="226">
        <f>IF(C1412="",NA(),IF(OR(C1412="Smelter not listed",C1412="Smelter not yet identified"),MATCH($B1412&amp;$D1412,'Smelter Look-up'!$J:$J,0),MATCH($B1412&amp;$C1412,'Smelter Look-up'!$J:$J,0)))</f>
        <v>619</v>
      </c>
      <c r="X1412" s="227">
        <f t="shared" si="201"/>
        <v>0</v>
      </c>
      <c r="AB1412" s="228" t="str">
        <f t="shared" si="202"/>
        <v>TungstenJapan New Metals Co., Ltd.</v>
      </c>
    </row>
    <row r="1413" spans="1:28" s="227" customFormat="1" ht="67.5">
      <c r="A1413" s="301" t="s">
        <v>790</v>
      </c>
      <c r="B1413" s="293" t="s">
        <v>1122</v>
      </c>
      <c r="C1413" s="294" t="s">
        <v>1370</v>
      </c>
      <c r="D1413" s="295" t="s">
        <v>1370</v>
      </c>
      <c r="E1413" s="293" t="s">
        <v>1098</v>
      </c>
      <c r="F1413" s="293" t="s">
        <v>790</v>
      </c>
      <c r="G1413" s="293" t="s">
        <v>13217</v>
      </c>
      <c r="H1413" s="302" t="s">
        <v>15880</v>
      </c>
      <c r="I1413" s="297" t="s">
        <v>2119</v>
      </c>
      <c r="J1413" s="297" t="s">
        <v>1568</v>
      </c>
      <c r="K1413" s="298" t="s">
        <v>17040</v>
      </c>
      <c r="L1413" s="298" t="s">
        <v>17038</v>
      </c>
      <c r="M1413" s="298" t="s">
        <v>15855</v>
      </c>
      <c r="N1413" s="298" t="s">
        <v>15855</v>
      </c>
      <c r="O1413" s="298" t="s">
        <v>15855</v>
      </c>
      <c r="P1413" s="299" t="s">
        <v>15857</v>
      </c>
      <c r="Q1413" s="300" t="s">
        <v>15855</v>
      </c>
      <c r="R1413" s="182" t="str">
        <f ca="1">IF(ISERROR($V1413),"",OFFSET('Smelter Look-up'!$C$4,$V1413-4,0)&amp;"")</f>
        <v>Japan New Metals Co., Ltd.</v>
      </c>
      <c r="S1413" s="181" t="str">
        <f t="shared" ca="1" si="200"/>
        <v>JP</v>
      </c>
      <c r="T1413" s="181" t="str">
        <f ca="1">IF(B1413="","",IF(ISERROR(MATCH($J1413,SorP!$B$1:$B$6226,0)),"",INDIRECT("'SorP'!$A$"&amp;MATCH($S1413&amp;$J1413,SorP!C:C,0))))</f>
        <v>JP-05</v>
      </c>
      <c r="U1413" s="201"/>
      <c r="V1413" s="226">
        <f>IF(C1413="",NA(),IF(OR(C1413="Smelter not listed",C1413="Smelter not yet identified"),MATCH($B1413&amp;$D1413,'Smelter Look-up'!$J:$J,0),MATCH($B1413&amp;$C1413,'Smelter Look-up'!$J:$J,0)))</f>
        <v>619</v>
      </c>
      <c r="X1413" s="227">
        <f t="shared" si="201"/>
        <v>0</v>
      </c>
      <c r="AB1413" s="228" t="str">
        <f t="shared" si="202"/>
        <v>TungstenJapan New Metals Co., Ltd.</v>
      </c>
    </row>
    <row r="1414" spans="1:28" s="227" customFormat="1" ht="94.5">
      <c r="A1414" s="301" t="s">
        <v>1417</v>
      </c>
      <c r="B1414" s="293" t="s">
        <v>1122</v>
      </c>
      <c r="C1414" s="294" t="s">
        <v>1416</v>
      </c>
      <c r="D1414" s="295" t="s">
        <v>1416</v>
      </c>
      <c r="E1414" s="293" t="s">
        <v>1090</v>
      </c>
      <c r="F1414" s="293" t="s">
        <v>1417</v>
      </c>
      <c r="G1414" s="293" t="s">
        <v>13217</v>
      </c>
      <c r="H1414" s="296" t="s">
        <v>15855</v>
      </c>
      <c r="I1414" s="297" t="s">
        <v>1759</v>
      </c>
      <c r="J1414" s="297" t="s">
        <v>13596</v>
      </c>
      <c r="K1414" s="298" t="s">
        <v>15855</v>
      </c>
      <c r="L1414" s="298" t="s">
        <v>15855</v>
      </c>
      <c r="M1414" s="298" t="s">
        <v>15855</v>
      </c>
      <c r="N1414" s="298" t="s">
        <v>15855</v>
      </c>
      <c r="O1414" s="298" t="s">
        <v>15855</v>
      </c>
      <c r="P1414" s="299" t="s">
        <v>15857</v>
      </c>
      <c r="Q1414" s="300" t="s">
        <v>15855</v>
      </c>
      <c r="R1414" s="182" t="str">
        <f ca="1">IF(ISERROR($V1414),"",OFFSET('Smelter Look-up'!$C$4,$V1414-4,0)&amp;"")</f>
        <v>Jiangwu H.C. Starck Tungsten Products Co., Ltd.</v>
      </c>
      <c r="S1414" s="181" t="str">
        <f t="shared" ca="1" si="200"/>
        <v>CN</v>
      </c>
      <c r="T1414" s="181" t="str">
        <f ca="1">IF(B1414="","",IF(ISERROR(MATCH($J1414,SorP!$B$1:$B$6226,0)),"",INDIRECT("'SorP'!$A$"&amp;MATCH($S1414&amp;$J1414,SorP!C:C,0))))</f>
        <v>CN-JX</v>
      </c>
      <c r="U1414" s="201"/>
      <c r="V1414" s="226">
        <f>IF(C1414="",NA(),IF(OR(C1414="Smelter not listed",C1414="Smelter not yet identified"),MATCH($B1414&amp;$D1414,'Smelter Look-up'!$J:$J,0),MATCH($B1414&amp;$C1414,'Smelter Look-up'!$J:$J,0)))</f>
        <v>620</v>
      </c>
      <c r="X1414" s="227">
        <f t="shared" si="201"/>
        <v>0</v>
      </c>
      <c r="AB1414" s="228" t="str">
        <f t="shared" si="202"/>
        <v>TungstenJiangwu H.C. Starck Tungsten Products Co., Ltd.</v>
      </c>
    </row>
    <row r="1415" spans="1:28" s="227" customFormat="1" ht="94.5">
      <c r="A1415" s="301" t="s">
        <v>1417</v>
      </c>
      <c r="B1415" s="293" t="s">
        <v>1122</v>
      </c>
      <c r="C1415" s="294" t="s">
        <v>1416</v>
      </c>
      <c r="D1415" s="295" t="s">
        <v>1416</v>
      </c>
      <c r="E1415" s="293" t="s">
        <v>1090</v>
      </c>
      <c r="F1415" s="293" t="s">
        <v>1417</v>
      </c>
      <c r="G1415" s="293" t="s">
        <v>13217</v>
      </c>
      <c r="H1415" s="296" t="s">
        <v>15855</v>
      </c>
      <c r="I1415" s="297" t="s">
        <v>1759</v>
      </c>
      <c r="J1415" s="297" t="s">
        <v>13596</v>
      </c>
      <c r="K1415" s="298" t="s">
        <v>15855</v>
      </c>
      <c r="L1415" s="298" t="s">
        <v>15855</v>
      </c>
      <c r="M1415" s="298" t="s">
        <v>15855</v>
      </c>
      <c r="N1415" s="298" t="s">
        <v>15855</v>
      </c>
      <c r="O1415" s="298" t="s">
        <v>15855</v>
      </c>
      <c r="P1415" s="299" t="s">
        <v>15857</v>
      </c>
      <c r="Q1415" s="300" t="s">
        <v>16531</v>
      </c>
      <c r="R1415" s="182" t="str">
        <f ca="1">IF(ISERROR($V1415),"",OFFSET('Smelter Look-up'!$C$4,$V1415-4,0)&amp;"")</f>
        <v>Jiangwu H.C. Starck Tungsten Products Co., Ltd.</v>
      </c>
      <c r="S1415" s="181" t="str">
        <f t="shared" ca="1" si="200"/>
        <v>CN</v>
      </c>
      <c r="T1415" s="181" t="str">
        <f ca="1">IF(B1415="","",IF(ISERROR(MATCH($J1415,SorP!$B$1:$B$6226,0)),"",INDIRECT("'SorP'!$A$"&amp;MATCH($S1415&amp;$J1415,SorP!C:C,0))))</f>
        <v>CN-JX</v>
      </c>
      <c r="U1415" s="201"/>
      <c r="V1415" s="226">
        <f>IF(C1415="",NA(),IF(OR(C1415="Smelter not listed",C1415="Smelter not yet identified"),MATCH($B1415&amp;$D1415,'Smelter Look-up'!$J:$J,0),MATCH($B1415&amp;$C1415,'Smelter Look-up'!$J:$J,0)))</f>
        <v>620</v>
      </c>
      <c r="X1415" s="227">
        <f t="shared" si="201"/>
        <v>0</v>
      </c>
      <c r="AB1415" s="228" t="str">
        <f t="shared" si="202"/>
        <v>TungstenJiangwu H.C. Starck Tungsten Products Co., Ltd.</v>
      </c>
    </row>
    <row r="1416" spans="1:28" s="227" customFormat="1" ht="94.5">
      <c r="A1416" s="301" t="s">
        <v>1417</v>
      </c>
      <c r="B1416" s="293" t="s">
        <v>1122</v>
      </c>
      <c r="C1416" s="294" t="s">
        <v>1416</v>
      </c>
      <c r="D1416" s="295" t="s">
        <v>1416</v>
      </c>
      <c r="E1416" s="293" t="s">
        <v>1090</v>
      </c>
      <c r="F1416" s="293" t="s">
        <v>1417</v>
      </c>
      <c r="G1416" s="293" t="s">
        <v>13217</v>
      </c>
      <c r="H1416" s="296" t="s">
        <v>15855</v>
      </c>
      <c r="I1416" s="297" t="s">
        <v>1759</v>
      </c>
      <c r="J1416" s="297" t="s">
        <v>13596</v>
      </c>
      <c r="K1416" s="298" t="s">
        <v>15855</v>
      </c>
      <c r="L1416" s="298" t="s">
        <v>15855</v>
      </c>
      <c r="M1416" s="298" t="s">
        <v>15855</v>
      </c>
      <c r="N1416" s="298" t="s">
        <v>15855</v>
      </c>
      <c r="O1416" s="298" t="s">
        <v>16125</v>
      </c>
      <c r="P1416" s="299" t="s">
        <v>15857</v>
      </c>
      <c r="Q1416" s="300" t="s">
        <v>15855</v>
      </c>
      <c r="R1416" s="182" t="str">
        <f ca="1">IF(ISERROR($V1416),"",OFFSET('Smelter Look-up'!$C$4,$V1416-4,0)&amp;"")</f>
        <v>Jiangwu H.C. Starck Tungsten Products Co., Ltd.</v>
      </c>
      <c r="S1416" s="181" t="str">
        <f t="shared" ca="1" si="200"/>
        <v>CN</v>
      </c>
      <c r="T1416" s="181" t="str">
        <f ca="1">IF(B1416="","",IF(ISERROR(MATCH($J1416,SorP!$B$1:$B$6226,0)),"",INDIRECT("'SorP'!$A$"&amp;MATCH($S1416&amp;$J1416,SorP!C:C,0))))</f>
        <v>CN-JX</v>
      </c>
      <c r="U1416" s="201"/>
      <c r="V1416" s="226">
        <f>IF(C1416="",NA(),IF(OR(C1416="Smelter not listed",C1416="Smelter not yet identified"),MATCH($B1416&amp;$D1416,'Smelter Look-up'!$J:$J,0),MATCH($B1416&amp;$C1416,'Smelter Look-up'!$J:$J,0)))</f>
        <v>620</v>
      </c>
      <c r="X1416" s="227">
        <f t="shared" si="201"/>
        <v>0</v>
      </c>
      <c r="AB1416" s="228" t="str">
        <f t="shared" si="202"/>
        <v>TungstenJiangwu H.C. Starck Tungsten Products Co., Ltd.</v>
      </c>
    </row>
    <row r="1417" spans="1:28" s="227" customFormat="1" ht="94.5">
      <c r="A1417" s="301" t="s">
        <v>1417</v>
      </c>
      <c r="B1417" s="293" t="s">
        <v>1122</v>
      </c>
      <c r="C1417" s="294" t="s">
        <v>1416</v>
      </c>
      <c r="D1417" s="295" t="s">
        <v>1416</v>
      </c>
      <c r="E1417" s="293" t="s">
        <v>1090</v>
      </c>
      <c r="F1417" s="293" t="s">
        <v>1417</v>
      </c>
      <c r="G1417" s="293" t="s">
        <v>13217</v>
      </c>
      <c r="H1417" s="296" t="s">
        <v>15855</v>
      </c>
      <c r="I1417" s="297" t="s">
        <v>1759</v>
      </c>
      <c r="J1417" s="297" t="s">
        <v>13596</v>
      </c>
      <c r="K1417" s="298" t="s">
        <v>17041</v>
      </c>
      <c r="L1417" s="298" t="s">
        <v>17042</v>
      </c>
      <c r="M1417" s="298" t="s">
        <v>17043</v>
      </c>
      <c r="N1417" s="298" t="s">
        <v>17044</v>
      </c>
      <c r="O1417" s="298" t="s">
        <v>15994</v>
      </c>
      <c r="P1417" s="299" t="s">
        <v>15857</v>
      </c>
      <c r="Q1417" s="300" t="s">
        <v>15855</v>
      </c>
      <c r="R1417" s="182" t="str">
        <f ca="1">IF(ISERROR($V1417),"",OFFSET('Smelter Look-up'!$C$4,$V1417-4,0)&amp;"")</f>
        <v>Jiangwu H.C. Starck Tungsten Products Co., Ltd.</v>
      </c>
      <c r="S1417" s="181" t="str">
        <f t="shared" ca="1" si="200"/>
        <v>CN</v>
      </c>
      <c r="T1417" s="181" t="str">
        <f ca="1">IF(B1417="","",IF(ISERROR(MATCH($J1417,SorP!$B$1:$B$6226,0)),"",INDIRECT("'SorP'!$A$"&amp;MATCH($S1417&amp;$J1417,SorP!C:C,0))))</f>
        <v>CN-JX</v>
      </c>
      <c r="U1417" s="201"/>
      <c r="V1417" s="226">
        <f>IF(C1417="",NA(),IF(OR(C1417="Smelter not listed",C1417="Smelter not yet identified"),MATCH($B1417&amp;$D1417,'Smelter Look-up'!$J:$J,0),MATCH($B1417&amp;$C1417,'Smelter Look-up'!$J:$J,0)))</f>
        <v>620</v>
      </c>
      <c r="X1417" s="227">
        <f t="shared" si="201"/>
        <v>0</v>
      </c>
      <c r="AB1417" s="228" t="str">
        <f t="shared" si="202"/>
        <v>TungstenJiangwu H.C. Starck Tungsten Products Co., Ltd.</v>
      </c>
    </row>
    <row r="1418" spans="1:28" s="227" customFormat="1" ht="94.5">
      <c r="A1418" s="301" t="s">
        <v>1417</v>
      </c>
      <c r="B1418" s="293" t="s">
        <v>1122</v>
      </c>
      <c r="C1418" s="294" t="s">
        <v>1416</v>
      </c>
      <c r="D1418" s="295" t="s">
        <v>1416</v>
      </c>
      <c r="E1418" s="293" t="s">
        <v>1090</v>
      </c>
      <c r="F1418" s="293" t="s">
        <v>1417</v>
      </c>
      <c r="G1418" s="293" t="s">
        <v>13217</v>
      </c>
      <c r="H1418" s="302" t="s">
        <v>15880</v>
      </c>
      <c r="I1418" s="297" t="s">
        <v>1759</v>
      </c>
      <c r="J1418" s="297" t="s">
        <v>13596</v>
      </c>
      <c r="K1418" s="298" t="s">
        <v>15855</v>
      </c>
      <c r="L1418" s="298" t="s">
        <v>15855</v>
      </c>
      <c r="M1418" s="298" t="s">
        <v>15855</v>
      </c>
      <c r="N1418" s="298" t="s">
        <v>15855</v>
      </c>
      <c r="O1418" s="298" t="s">
        <v>15855</v>
      </c>
      <c r="P1418" s="299" t="s">
        <v>15857</v>
      </c>
      <c r="Q1418" s="300" t="s">
        <v>15855</v>
      </c>
      <c r="R1418" s="182" t="str">
        <f ca="1">IF(ISERROR($V1418),"",OFFSET('Smelter Look-up'!$C$4,$V1418-4,0)&amp;"")</f>
        <v>Jiangwu H.C. Starck Tungsten Products Co., Ltd.</v>
      </c>
      <c r="S1418" s="181" t="str">
        <f t="shared" ca="1" si="200"/>
        <v>CN</v>
      </c>
      <c r="T1418" s="181" t="str">
        <f ca="1">IF(B1418="","",IF(ISERROR(MATCH($J1418,SorP!$B$1:$B$6226,0)),"",INDIRECT("'SorP'!$A$"&amp;MATCH($S1418&amp;$J1418,SorP!C:C,0))))</f>
        <v>CN-JX</v>
      </c>
      <c r="U1418" s="201"/>
      <c r="V1418" s="226">
        <f>IF(C1418="",NA(),IF(OR(C1418="Smelter not listed",C1418="Smelter not yet identified"),MATCH($B1418&amp;$D1418,'Smelter Look-up'!$J:$J,0),MATCH($B1418&amp;$C1418,'Smelter Look-up'!$J:$J,0)))</f>
        <v>620</v>
      </c>
      <c r="X1418" s="227">
        <f t="shared" si="201"/>
        <v>0</v>
      </c>
      <c r="AB1418" s="228" t="str">
        <f t="shared" si="202"/>
        <v>TungstenJiangwu H.C. Starck Tungsten Products Co., Ltd.</v>
      </c>
    </row>
    <row r="1419" spans="1:28" s="227" customFormat="1" ht="94.5">
      <c r="A1419" s="301" t="s">
        <v>1417</v>
      </c>
      <c r="B1419" s="293" t="s">
        <v>1122</v>
      </c>
      <c r="C1419" s="294" t="s">
        <v>1416</v>
      </c>
      <c r="D1419" s="295" t="s">
        <v>1416</v>
      </c>
      <c r="E1419" s="293" t="s">
        <v>1090</v>
      </c>
      <c r="F1419" s="293" t="s">
        <v>1417</v>
      </c>
      <c r="G1419" s="293" t="s">
        <v>13217</v>
      </c>
      <c r="H1419" s="296" t="s">
        <v>17045</v>
      </c>
      <c r="I1419" s="297" t="s">
        <v>1759</v>
      </c>
      <c r="J1419" s="297" t="s">
        <v>13596</v>
      </c>
      <c r="K1419" s="298" t="s">
        <v>17046</v>
      </c>
      <c r="L1419" s="298" t="s">
        <v>17047</v>
      </c>
      <c r="M1419" s="298" t="s">
        <v>15855</v>
      </c>
      <c r="N1419" s="298" t="s">
        <v>17048</v>
      </c>
      <c r="O1419" s="298" t="s">
        <v>15989</v>
      </c>
      <c r="P1419" s="299" t="s">
        <v>15857</v>
      </c>
      <c r="Q1419" s="300" t="s">
        <v>15855</v>
      </c>
      <c r="R1419" s="182" t="str">
        <f ca="1">IF(ISERROR($V1419),"",OFFSET('Smelter Look-up'!$C$4,$V1419-4,0)&amp;"")</f>
        <v>Jiangwu H.C. Starck Tungsten Products Co., Ltd.</v>
      </c>
      <c r="S1419" s="181" t="str">
        <f t="shared" ca="1" si="200"/>
        <v>CN</v>
      </c>
      <c r="T1419" s="181" t="str">
        <f ca="1">IF(B1419="","",IF(ISERROR(MATCH($J1419,SorP!$B$1:$B$6226,0)),"",INDIRECT("'SorP'!$A$"&amp;MATCH($S1419&amp;$J1419,SorP!C:C,0))))</f>
        <v>CN-JX</v>
      </c>
      <c r="U1419" s="201"/>
      <c r="V1419" s="226">
        <f>IF(C1419="",NA(),IF(OR(C1419="Smelter not listed",C1419="Smelter not yet identified"),MATCH($B1419&amp;$D1419,'Smelter Look-up'!$J:$J,0),MATCH($B1419&amp;$C1419,'Smelter Look-up'!$J:$J,0)))</f>
        <v>620</v>
      </c>
      <c r="X1419" s="227">
        <f t="shared" si="201"/>
        <v>0</v>
      </c>
      <c r="AB1419" s="228" t="str">
        <f t="shared" si="202"/>
        <v>TungstenJiangwu H.C. Starck Tungsten Products Co., Ltd.</v>
      </c>
    </row>
    <row r="1420" spans="1:28" s="227" customFormat="1" ht="67.5">
      <c r="A1420" s="301" t="s">
        <v>135</v>
      </c>
      <c r="B1420" s="293" t="s">
        <v>1122</v>
      </c>
      <c r="C1420" s="294" t="s">
        <v>153</v>
      </c>
      <c r="D1420" s="295" t="s">
        <v>153</v>
      </c>
      <c r="E1420" s="293" t="s">
        <v>1090</v>
      </c>
      <c r="F1420" s="293" t="s">
        <v>135</v>
      </c>
      <c r="G1420" s="293" t="s">
        <v>13217</v>
      </c>
      <c r="H1420" s="296" t="s">
        <v>15855</v>
      </c>
      <c r="I1420" s="297" t="s">
        <v>1821</v>
      </c>
      <c r="J1420" s="297" t="s">
        <v>13596</v>
      </c>
      <c r="K1420" s="298" t="s">
        <v>15855</v>
      </c>
      <c r="L1420" s="298" t="s">
        <v>15855</v>
      </c>
      <c r="M1420" s="298" t="s">
        <v>15855</v>
      </c>
      <c r="N1420" s="298" t="s">
        <v>15855</v>
      </c>
      <c r="O1420" s="298" t="s">
        <v>15855</v>
      </c>
      <c r="P1420" s="299" t="s">
        <v>15857</v>
      </c>
      <c r="Q1420" s="300" t="s">
        <v>15855</v>
      </c>
      <c r="R1420" s="182" t="str">
        <f ca="1">IF(ISERROR($V1420),"",OFFSET('Smelter Look-up'!$C$4,$V1420-4,0)&amp;"")</f>
        <v>Jiangxi Gan Bei Tungsten Co., Ltd.</v>
      </c>
      <c r="S1420" s="181" t="str">
        <f t="shared" ca="1" si="200"/>
        <v>CN</v>
      </c>
      <c r="T1420" s="181" t="str">
        <f ca="1">IF(B1420="","",IF(ISERROR(MATCH($J1420,SorP!$B$1:$B$6226,0)),"",INDIRECT("'SorP'!$A$"&amp;MATCH($S1420&amp;$J1420,SorP!C:C,0))))</f>
        <v>CN-JX</v>
      </c>
      <c r="U1420" s="201"/>
      <c r="V1420" s="226">
        <f>IF(C1420="",NA(),IF(OR(C1420="Smelter not listed",C1420="Smelter not yet identified"),MATCH($B1420&amp;$D1420,'Smelter Look-up'!$J:$J,0),MATCH($B1420&amp;$C1420,'Smelter Look-up'!$J:$J,0)))</f>
        <v>621</v>
      </c>
      <c r="X1420" s="227">
        <f t="shared" si="201"/>
        <v>0</v>
      </c>
      <c r="AB1420" s="228" t="str">
        <f t="shared" si="202"/>
        <v>TungstenJiangxi Gan Bei Tungsten Co., Ltd.</v>
      </c>
    </row>
    <row r="1421" spans="1:28" s="227" customFormat="1" ht="67.5">
      <c r="A1421" s="301" t="s">
        <v>135</v>
      </c>
      <c r="B1421" s="293" t="s">
        <v>1122</v>
      </c>
      <c r="C1421" s="294" t="s">
        <v>153</v>
      </c>
      <c r="D1421" s="295" t="s">
        <v>153</v>
      </c>
      <c r="E1421" s="293" t="s">
        <v>1090</v>
      </c>
      <c r="F1421" s="293" t="s">
        <v>135</v>
      </c>
      <c r="G1421" s="293" t="s">
        <v>13217</v>
      </c>
      <c r="H1421" s="296" t="s">
        <v>15855</v>
      </c>
      <c r="I1421" s="297" t="s">
        <v>1821</v>
      </c>
      <c r="J1421" s="297" t="s">
        <v>13596</v>
      </c>
      <c r="K1421" s="298" t="s">
        <v>15855</v>
      </c>
      <c r="L1421" s="298" t="s">
        <v>15855</v>
      </c>
      <c r="M1421" s="298" t="s">
        <v>15855</v>
      </c>
      <c r="N1421" s="298" t="s">
        <v>15855</v>
      </c>
      <c r="O1421" s="298" t="s">
        <v>15858</v>
      </c>
      <c r="P1421" s="299" t="s">
        <v>15857</v>
      </c>
      <c r="Q1421" s="300" t="s">
        <v>15855</v>
      </c>
      <c r="R1421" s="182" t="str">
        <f ca="1">IF(ISERROR($V1421),"",OFFSET('Smelter Look-up'!$C$4,$V1421-4,0)&amp;"")</f>
        <v>Jiangxi Gan Bei Tungsten Co., Ltd.</v>
      </c>
      <c r="S1421" s="181" t="str">
        <f t="shared" ca="1" si="200"/>
        <v>CN</v>
      </c>
      <c r="T1421" s="181" t="str">
        <f ca="1">IF(B1421="","",IF(ISERROR(MATCH($J1421,SorP!$B$1:$B$6226,0)),"",INDIRECT("'SorP'!$A$"&amp;MATCH($S1421&amp;$J1421,SorP!C:C,0))))</f>
        <v>CN-JX</v>
      </c>
      <c r="U1421" s="201"/>
      <c r="V1421" s="226">
        <f>IF(C1421="",NA(),IF(OR(C1421="Smelter not listed",C1421="Smelter not yet identified"),MATCH($B1421&amp;$D1421,'Smelter Look-up'!$J:$J,0),MATCH($B1421&amp;$C1421,'Smelter Look-up'!$J:$J,0)))</f>
        <v>621</v>
      </c>
      <c r="X1421" s="227">
        <f t="shared" si="201"/>
        <v>0</v>
      </c>
      <c r="AB1421" s="228" t="str">
        <f t="shared" si="202"/>
        <v>TungstenJiangxi Gan Bei Tungsten Co., Ltd.</v>
      </c>
    </row>
    <row r="1422" spans="1:28" s="227" customFormat="1" ht="67.5">
      <c r="A1422" s="301" t="s">
        <v>135</v>
      </c>
      <c r="B1422" s="293" t="s">
        <v>1122</v>
      </c>
      <c r="C1422" s="294" t="s">
        <v>153</v>
      </c>
      <c r="D1422" s="295" t="s">
        <v>153</v>
      </c>
      <c r="E1422" s="293" t="s">
        <v>1090</v>
      </c>
      <c r="F1422" s="293" t="s">
        <v>135</v>
      </c>
      <c r="G1422" s="293" t="s">
        <v>13217</v>
      </c>
      <c r="H1422" s="296" t="s">
        <v>15855</v>
      </c>
      <c r="I1422" s="297" t="s">
        <v>1821</v>
      </c>
      <c r="J1422" s="297" t="s">
        <v>13596</v>
      </c>
      <c r="K1422" s="298" t="s">
        <v>17049</v>
      </c>
      <c r="L1422" s="298" t="s">
        <v>17050</v>
      </c>
      <c r="M1422" s="298" t="s">
        <v>15869</v>
      </c>
      <c r="N1422" s="298" t="s">
        <v>15862</v>
      </c>
      <c r="O1422" s="298" t="s">
        <v>17022</v>
      </c>
      <c r="P1422" s="299" t="s">
        <v>15857</v>
      </c>
      <c r="Q1422" s="300" t="s">
        <v>15855</v>
      </c>
      <c r="R1422" s="182" t="str">
        <f ca="1">IF(ISERROR($V1422),"",OFFSET('Smelter Look-up'!$C$4,$V1422-4,0)&amp;"")</f>
        <v>Jiangxi Gan Bei Tungsten Co., Ltd.</v>
      </c>
      <c r="S1422" s="181" t="str">
        <f t="shared" ca="1" si="200"/>
        <v>CN</v>
      </c>
      <c r="T1422" s="181" t="str">
        <f ca="1">IF(B1422="","",IF(ISERROR(MATCH($J1422,SorP!$B$1:$B$6226,0)),"",INDIRECT("'SorP'!$A$"&amp;MATCH($S1422&amp;$J1422,SorP!C:C,0))))</f>
        <v>CN-JX</v>
      </c>
      <c r="U1422" s="201"/>
      <c r="V1422" s="226">
        <f>IF(C1422="",NA(),IF(OR(C1422="Smelter not listed",C1422="Smelter not yet identified"),MATCH($B1422&amp;$D1422,'Smelter Look-up'!$J:$J,0),MATCH($B1422&amp;$C1422,'Smelter Look-up'!$J:$J,0)))</f>
        <v>621</v>
      </c>
      <c r="X1422" s="227">
        <f t="shared" si="201"/>
        <v>0</v>
      </c>
      <c r="AB1422" s="228" t="str">
        <f t="shared" si="202"/>
        <v>TungstenJiangxi Gan Bei Tungsten Co., Ltd.</v>
      </c>
    </row>
    <row r="1423" spans="1:28" s="227" customFormat="1" ht="67.5">
      <c r="A1423" s="301" t="s">
        <v>135</v>
      </c>
      <c r="B1423" s="293" t="s">
        <v>1122</v>
      </c>
      <c r="C1423" s="294" t="s">
        <v>153</v>
      </c>
      <c r="D1423" s="295" t="s">
        <v>153</v>
      </c>
      <c r="E1423" s="293" t="s">
        <v>1090</v>
      </c>
      <c r="F1423" s="293" t="s">
        <v>135</v>
      </c>
      <c r="G1423" s="293" t="s">
        <v>13217</v>
      </c>
      <c r="H1423" s="302" t="s">
        <v>15880</v>
      </c>
      <c r="I1423" s="297" t="s">
        <v>1821</v>
      </c>
      <c r="J1423" s="297" t="s">
        <v>13596</v>
      </c>
      <c r="K1423" s="298" t="s">
        <v>15855</v>
      </c>
      <c r="L1423" s="298" t="s">
        <v>15855</v>
      </c>
      <c r="M1423" s="298" t="s">
        <v>15855</v>
      </c>
      <c r="N1423" s="298" t="s">
        <v>15855</v>
      </c>
      <c r="O1423" s="298" t="s">
        <v>15855</v>
      </c>
      <c r="P1423" s="299" t="s">
        <v>15857</v>
      </c>
      <c r="Q1423" s="300" t="s">
        <v>15855</v>
      </c>
      <c r="R1423" s="182" t="str">
        <f ca="1">IF(ISERROR($V1423),"",OFFSET('Smelter Look-up'!$C$4,$V1423-4,0)&amp;"")</f>
        <v>Jiangxi Gan Bei Tungsten Co., Ltd.</v>
      </c>
      <c r="S1423" s="181" t="str">
        <f t="shared" ca="1" si="200"/>
        <v>CN</v>
      </c>
      <c r="T1423" s="181" t="str">
        <f ca="1">IF(B1423="","",IF(ISERROR(MATCH($J1423,SorP!$B$1:$B$6226,0)),"",INDIRECT("'SorP'!$A$"&amp;MATCH($S1423&amp;$J1423,SorP!C:C,0))))</f>
        <v>CN-JX</v>
      </c>
      <c r="U1423" s="201"/>
      <c r="V1423" s="226">
        <f>IF(C1423="",NA(),IF(OR(C1423="Smelter not listed",C1423="Smelter not yet identified"),MATCH($B1423&amp;$D1423,'Smelter Look-up'!$J:$J,0),MATCH($B1423&amp;$C1423,'Smelter Look-up'!$J:$J,0)))</f>
        <v>621</v>
      </c>
      <c r="X1423" s="227">
        <f t="shared" si="201"/>
        <v>0</v>
      </c>
      <c r="AB1423" s="228" t="str">
        <f t="shared" si="202"/>
        <v>TungstenJiangxi Gan Bei Tungsten Co., Ltd.</v>
      </c>
    </row>
    <row r="1424" spans="1:28" s="227" customFormat="1" ht="108">
      <c r="A1424" s="301" t="s">
        <v>795</v>
      </c>
      <c r="B1424" s="293" t="s">
        <v>1122</v>
      </c>
      <c r="C1424" s="294" t="s">
        <v>806</v>
      </c>
      <c r="D1424" s="295" t="s">
        <v>806</v>
      </c>
      <c r="E1424" s="293" t="s">
        <v>1090</v>
      </c>
      <c r="F1424" s="293" t="s">
        <v>795</v>
      </c>
      <c r="G1424" s="293" t="s">
        <v>13217</v>
      </c>
      <c r="H1424" s="296" t="s">
        <v>15855</v>
      </c>
      <c r="I1424" s="297" t="s">
        <v>1818</v>
      </c>
      <c r="J1424" s="297" t="s">
        <v>13596</v>
      </c>
      <c r="K1424" s="298" t="s">
        <v>15855</v>
      </c>
      <c r="L1424" s="298" t="s">
        <v>15855</v>
      </c>
      <c r="M1424" s="298" t="s">
        <v>15855</v>
      </c>
      <c r="N1424" s="298" t="s">
        <v>15855</v>
      </c>
      <c r="O1424" s="298" t="s">
        <v>15858</v>
      </c>
      <c r="P1424" s="299" t="s">
        <v>15857</v>
      </c>
      <c r="Q1424" s="300" t="s">
        <v>15855</v>
      </c>
      <c r="R1424" s="182" t="str">
        <f ca="1">IF(ISERROR($V1424),"",OFFSET('Smelter Look-up'!$C$4,$V1424-4,0)&amp;"")</f>
        <v>Jiangxi Minmetals Gao'an Non-ferrous Metals Co., Ltd.</v>
      </c>
      <c r="S1424" s="181" t="str">
        <f t="shared" ca="1" si="200"/>
        <v>CN</v>
      </c>
      <c r="T1424" s="181" t="str">
        <f ca="1">IF(B1424="","",IF(ISERROR(MATCH($J1424,SorP!$B$1:$B$6226,0)),"",INDIRECT("'SorP'!$A$"&amp;MATCH($S1424&amp;$J1424,SorP!C:C,0))))</f>
        <v>CN-JX</v>
      </c>
      <c r="U1424" s="201"/>
      <c r="V1424" s="226">
        <f>IF(C1424="",NA(),IF(OR(C1424="Smelter not listed",C1424="Smelter not yet identified"),MATCH($B1424&amp;$D1424,'Smelter Look-up'!$J:$J,0),MATCH($B1424&amp;$C1424,'Smelter Look-up'!$J:$J,0)))</f>
        <v>622</v>
      </c>
      <c r="X1424" s="227">
        <f t="shared" si="201"/>
        <v>0</v>
      </c>
      <c r="AB1424" s="228" t="str">
        <f t="shared" si="202"/>
        <v>TungstenJiangxi Minmetals Gao'an Non-ferrous Metals Co., Ltd.</v>
      </c>
    </row>
    <row r="1425" spans="1:28" s="227" customFormat="1" ht="121.5">
      <c r="A1425" s="301" t="s">
        <v>140</v>
      </c>
      <c r="B1425" s="293" t="s">
        <v>1122</v>
      </c>
      <c r="C1425" s="294" t="s">
        <v>150</v>
      </c>
      <c r="D1425" s="295" t="s">
        <v>150</v>
      </c>
      <c r="E1425" s="293" t="s">
        <v>1090</v>
      </c>
      <c r="F1425" s="293" t="s">
        <v>140</v>
      </c>
      <c r="G1425" s="293" t="s">
        <v>13217</v>
      </c>
      <c r="H1425" s="296" t="s">
        <v>15855</v>
      </c>
      <c r="I1425" s="297" t="s">
        <v>1819</v>
      </c>
      <c r="J1425" s="297" t="s">
        <v>13596</v>
      </c>
      <c r="K1425" s="298" t="s">
        <v>15855</v>
      </c>
      <c r="L1425" s="298" t="s">
        <v>15855</v>
      </c>
      <c r="M1425" s="298" t="s">
        <v>15855</v>
      </c>
      <c r="N1425" s="298" t="s">
        <v>15855</v>
      </c>
      <c r="O1425" s="298" t="s">
        <v>15855</v>
      </c>
      <c r="P1425" s="299" t="s">
        <v>15857</v>
      </c>
      <c r="Q1425" s="300" t="s">
        <v>15855</v>
      </c>
      <c r="R1425" s="182" t="str">
        <f ca="1">IF(ISERROR($V1425),"",OFFSET('Smelter Look-up'!$C$4,$V1425-4,0)&amp;"")</f>
        <v>Jiangxi Tonggu Non-ferrous Metallurgical &amp; Chemical Co., Ltd.</v>
      </c>
      <c r="S1425" s="181" t="str">
        <f t="shared" ca="1" si="200"/>
        <v>CN</v>
      </c>
      <c r="T1425" s="181" t="str">
        <f ca="1">IF(B1425="","",IF(ISERROR(MATCH($J1425,SorP!$B$1:$B$6226,0)),"",INDIRECT("'SorP'!$A$"&amp;MATCH($S1425&amp;$J1425,SorP!C:C,0))))</f>
        <v>CN-JX</v>
      </c>
      <c r="U1425" s="201"/>
      <c r="V1425" s="226">
        <f>IF(C1425="",NA(),IF(OR(C1425="Smelter not listed",C1425="Smelter not yet identified"),MATCH($B1425&amp;$D1425,'Smelter Look-up'!$J:$J,0),MATCH($B1425&amp;$C1425,'Smelter Look-up'!$J:$J,0)))</f>
        <v>623</v>
      </c>
      <c r="X1425" s="227">
        <f t="shared" si="201"/>
        <v>0</v>
      </c>
      <c r="AB1425" s="228" t="str">
        <f t="shared" si="202"/>
        <v>TungstenJiangxi Tonggu Non-ferrous Metallurgical &amp; Chemical Co., Ltd.</v>
      </c>
    </row>
    <row r="1426" spans="1:28" s="227" customFormat="1" ht="121.5">
      <c r="A1426" s="301" t="s">
        <v>140</v>
      </c>
      <c r="B1426" s="293" t="s">
        <v>1122</v>
      </c>
      <c r="C1426" s="294" t="s">
        <v>150</v>
      </c>
      <c r="D1426" s="295" t="s">
        <v>150</v>
      </c>
      <c r="E1426" s="293" t="s">
        <v>1090</v>
      </c>
      <c r="F1426" s="293" t="s">
        <v>140</v>
      </c>
      <c r="G1426" s="293" t="s">
        <v>13217</v>
      </c>
      <c r="H1426" s="296" t="s">
        <v>15855</v>
      </c>
      <c r="I1426" s="297" t="s">
        <v>1819</v>
      </c>
      <c r="J1426" s="297" t="s">
        <v>13596</v>
      </c>
      <c r="K1426" s="298" t="s">
        <v>15855</v>
      </c>
      <c r="L1426" s="298" t="s">
        <v>15855</v>
      </c>
      <c r="M1426" s="298" t="s">
        <v>15855</v>
      </c>
      <c r="N1426" s="298" t="s">
        <v>15855</v>
      </c>
      <c r="O1426" s="298" t="s">
        <v>15858</v>
      </c>
      <c r="P1426" s="299" t="s">
        <v>15857</v>
      </c>
      <c r="Q1426" s="300" t="s">
        <v>15855</v>
      </c>
      <c r="R1426" s="182" t="str">
        <f ca="1">IF(ISERROR($V1426),"",OFFSET('Smelter Look-up'!$C$4,$V1426-4,0)&amp;"")</f>
        <v>Jiangxi Tonggu Non-ferrous Metallurgical &amp; Chemical Co., Ltd.</v>
      </c>
      <c r="S1426" s="181" t="str">
        <f t="shared" ca="1" si="200"/>
        <v>CN</v>
      </c>
      <c r="T1426" s="181" t="str">
        <f ca="1">IF(B1426="","",IF(ISERROR(MATCH($J1426,SorP!$B$1:$B$6226,0)),"",INDIRECT("'SorP'!$A$"&amp;MATCH($S1426&amp;$J1426,SorP!C:C,0))))</f>
        <v>CN-JX</v>
      </c>
      <c r="U1426" s="201"/>
      <c r="V1426" s="226">
        <f>IF(C1426="",NA(),IF(OR(C1426="Smelter not listed",C1426="Smelter not yet identified"),MATCH($B1426&amp;$D1426,'Smelter Look-up'!$J:$J,0),MATCH($B1426&amp;$C1426,'Smelter Look-up'!$J:$J,0)))</f>
        <v>623</v>
      </c>
      <c r="X1426" s="227">
        <f t="shared" si="201"/>
        <v>0</v>
      </c>
      <c r="AB1426" s="228" t="str">
        <f t="shared" si="202"/>
        <v>TungstenJiangxi Tonggu Non-ferrous Metallurgical &amp; Chemical Co., Ltd.</v>
      </c>
    </row>
    <row r="1427" spans="1:28" s="227" customFormat="1" ht="121.5">
      <c r="A1427" s="301" t="s">
        <v>140</v>
      </c>
      <c r="B1427" s="293" t="s">
        <v>1122</v>
      </c>
      <c r="C1427" s="294" t="s">
        <v>150</v>
      </c>
      <c r="D1427" s="295" t="s">
        <v>150</v>
      </c>
      <c r="E1427" s="293" t="s">
        <v>1090</v>
      </c>
      <c r="F1427" s="293" t="s">
        <v>140</v>
      </c>
      <c r="G1427" s="293" t="s">
        <v>13217</v>
      </c>
      <c r="H1427" s="296" t="s">
        <v>15855</v>
      </c>
      <c r="I1427" s="297" t="s">
        <v>1819</v>
      </c>
      <c r="J1427" s="297" t="s">
        <v>13596</v>
      </c>
      <c r="K1427" s="298" t="s">
        <v>17041</v>
      </c>
      <c r="L1427" s="298" t="s">
        <v>17051</v>
      </c>
      <c r="M1427" s="298" t="s">
        <v>17052</v>
      </c>
      <c r="N1427" s="298" t="s">
        <v>15862</v>
      </c>
      <c r="O1427" s="298" t="s">
        <v>17022</v>
      </c>
      <c r="P1427" s="299" t="s">
        <v>15857</v>
      </c>
      <c r="Q1427" s="300" t="s">
        <v>15855</v>
      </c>
      <c r="R1427" s="182" t="str">
        <f ca="1">IF(ISERROR($V1427),"",OFFSET('Smelter Look-up'!$C$4,$V1427-4,0)&amp;"")</f>
        <v>Jiangxi Tonggu Non-ferrous Metallurgical &amp; Chemical Co., Ltd.</v>
      </c>
      <c r="S1427" s="181" t="str">
        <f t="shared" ca="1" si="200"/>
        <v>CN</v>
      </c>
      <c r="T1427" s="181" t="str">
        <f ca="1">IF(B1427="","",IF(ISERROR(MATCH($J1427,SorP!$B$1:$B$6226,0)),"",INDIRECT("'SorP'!$A$"&amp;MATCH($S1427&amp;$J1427,SorP!C:C,0))))</f>
        <v>CN-JX</v>
      </c>
      <c r="U1427" s="201"/>
      <c r="V1427" s="226">
        <f>IF(C1427="",NA(),IF(OR(C1427="Smelter not listed",C1427="Smelter not yet identified"),MATCH($B1427&amp;$D1427,'Smelter Look-up'!$J:$J,0),MATCH($B1427&amp;$C1427,'Smelter Look-up'!$J:$J,0)))</f>
        <v>623</v>
      </c>
      <c r="X1427" s="227">
        <f t="shared" si="201"/>
        <v>0</v>
      </c>
      <c r="AB1427" s="228" t="str">
        <f t="shared" si="202"/>
        <v>TungstenJiangxi Tonggu Non-ferrous Metallurgical &amp; Chemical Co., Ltd.</v>
      </c>
    </row>
    <row r="1428" spans="1:28" s="227" customFormat="1" ht="121.5">
      <c r="A1428" s="301" t="s">
        <v>140</v>
      </c>
      <c r="B1428" s="293" t="s">
        <v>1122</v>
      </c>
      <c r="C1428" s="294" t="s">
        <v>150</v>
      </c>
      <c r="D1428" s="295" t="s">
        <v>150</v>
      </c>
      <c r="E1428" s="293" t="s">
        <v>1090</v>
      </c>
      <c r="F1428" s="293" t="s">
        <v>140</v>
      </c>
      <c r="G1428" s="293" t="s">
        <v>13217</v>
      </c>
      <c r="H1428" s="302" t="s">
        <v>15880</v>
      </c>
      <c r="I1428" s="297" t="s">
        <v>1819</v>
      </c>
      <c r="J1428" s="297" t="s">
        <v>13596</v>
      </c>
      <c r="K1428" s="298" t="s">
        <v>15855</v>
      </c>
      <c r="L1428" s="298" t="s">
        <v>15855</v>
      </c>
      <c r="M1428" s="298" t="s">
        <v>15855</v>
      </c>
      <c r="N1428" s="298" t="s">
        <v>15855</v>
      </c>
      <c r="O1428" s="298" t="s">
        <v>15855</v>
      </c>
      <c r="P1428" s="299" t="s">
        <v>15857</v>
      </c>
      <c r="Q1428" s="300" t="s">
        <v>15855</v>
      </c>
      <c r="R1428" s="182" t="str">
        <f ca="1">IF(ISERROR($V1428),"",OFFSET('Smelter Look-up'!$C$4,$V1428-4,0)&amp;"")</f>
        <v>Jiangxi Tonggu Non-ferrous Metallurgical &amp; Chemical Co., Ltd.</v>
      </c>
      <c r="S1428" s="181" t="str">
        <f t="shared" ca="1" si="200"/>
        <v>CN</v>
      </c>
      <c r="T1428" s="181" t="str">
        <f ca="1">IF(B1428="","",IF(ISERROR(MATCH($J1428,SorP!$B$1:$B$6226,0)),"",INDIRECT("'SorP'!$A$"&amp;MATCH($S1428&amp;$J1428,SorP!C:C,0))))</f>
        <v>CN-JX</v>
      </c>
      <c r="U1428" s="201"/>
      <c r="V1428" s="226">
        <f>IF(C1428="",NA(),IF(OR(C1428="Smelter not listed",C1428="Smelter not yet identified"),MATCH($B1428&amp;$D1428,'Smelter Look-up'!$J:$J,0),MATCH($B1428&amp;$C1428,'Smelter Look-up'!$J:$J,0)))</f>
        <v>623</v>
      </c>
      <c r="X1428" s="227">
        <f t="shared" si="201"/>
        <v>0</v>
      </c>
      <c r="AB1428" s="228" t="str">
        <f t="shared" si="202"/>
        <v>TungstenJiangxi Tonggu Non-ferrous Metallurgical &amp; Chemical Co., Ltd.</v>
      </c>
    </row>
    <row r="1429" spans="1:28" s="227" customFormat="1" ht="81">
      <c r="A1429" s="301" t="s">
        <v>139</v>
      </c>
      <c r="B1429" s="293" t="s">
        <v>1122</v>
      </c>
      <c r="C1429" s="294" t="s">
        <v>149</v>
      </c>
      <c r="D1429" s="295" t="s">
        <v>149</v>
      </c>
      <c r="E1429" s="293" t="s">
        <v>1090</v>
      </c>
      <c r="F1429" s="293" t="s">
        <v>139</v>
      </c>
      <c r="G1429" s="293" t="s">
        <v>13217</v>
      </c>
      <c r="H1429" s="296" t="s">
        <v>15855</v>
      </c>
      <c r="I1429" s="297" t="s">
        <v>1759</v>
      </c>
      <c r="J1429" s="297" t="s">
        <v>13596</v>
      </c>
      <c r="K1429" s="298" t="s">
        <v>15855</v>
      </c>
      <c r="L1429" s="298" t="s">
        <v>15855</v>
      </c>
      <c r="M1429" s="298" t="s">
        <v>15855</v>
      </c>
      <c r="N1429" s="298" t="s">
        <v>15855</v>
      </c>
      <c r="O1429" s="298" t="s">
        <v>15855</v>
      </c>
      <c r="P1429" s="299" t="s">
        <v>15857</v>
      </c>
      <c r="Q1429" s="300" t="s">
        <v>15855</v>
      </c>
      <c r="R1429" s="182" t="str">
        <f ca="1">IF(ISERROR($V1429),"",OFFSET('Smelter Look-up'!$C$4,$V1429-4,0)&amp;"")</f>
        <v>Jiangxi Xinsheng Tungsten Industry Co., Ltd.</v>
      </c>
      <c r="S1429" s="181" t="str">
        <f t="shared" ca="1" si="200"/>
        <v>CN</v>
      </c>
      <c r="T1429" s="181" t="str">
        <f ca="1">IF(B1429="","",IF(ISERROR(MATCH($J1429,SorP!$B$1:$B$6226,0)),"",INDIRECT("'SorP'!$A$"&amp;MATCH($S1429&amp;$J1429,SorP!C:C,0))))</f>
        <v>CN-JX</v>
      </c>
      <c r="U1429" s="201"/>
      <c r="V1429" s="226">
        <f>IF(C1429="",NA(),IF(OR(C1429="Smelter not listed",C1429="Smelter not yet identified"),MATCH($B1429&amp;$D1429,'Smelter Look-up'!$J:$J,0),MATCH($B1429&amp;$C1429,'Smelter Look-up'!$J:$J,0)))</f>
        <v>624</v>
      </c>
      <c r="X1429" s="227">
        <f t="shared" si="201"/>
        <v>0</v>
      </c>
      <c r="AB1429" s="228" t="str">
        <f t="shared" si="202"/>
        <v>TungstenJiangxi Xinsheng Tungsten Industry Co., Ltd.</v>
      </c>
    </row>
    <row r="1430" spans="1:28" s="227" customFormat="1" ht="81">
      <c r="A1430" s="301" t="s">
        <v>139</v>
      </c>
      <c r="B1430" s="293" t="s">
        <v>1122</v>
      </c>
      <c r="C1430" s="294" t="s">
        <v>149</v>
      </c>
      <c r="D1430" s="295" t="s">
        <v>149</v>
      </c>
      <c r="E1430" s="293" t="s">
        <v>1090</v>
      </c>
      <c r="F1430" s="293" t="s">
        <v>139</v>
      </c>
      <c r="G1430" s="293" t="s">
        <v>13217</v>
      </c>
      <c r="H1430" s="296" t="s">
        <v>15855</v>
      </c>
      <c r="I1430" s="297" t="s">
        <v>1759</v>
      </c>
      <c r="J1430" s="297" t="s">
        <v>13596</v>
      </c>
      <c r="K1430" s="298" t="s">
        <v>15855</v>
      </c>
      <c r="L1430" s="298" t="s">
        <v>15855</v>
      </c>
      <c r="M1430" s="298" t="s">
        <v>15855</v>
      </c>
      <c r="N1430" s="298" t="s">
        <v>15855</v>
      </c>
      <c r="O1430" s="298" t="s">
        <v>15858</v>
      </c>
      <c r="P1430" s="299" t="s">
        <v>15857</v>
      </c>
      <c r="Q1430" s="300" t="s">
        <v>15855</v>
      </c>
      <c r="R1430" s="182" t="str">
        <f ca="1">IF(ISERROR($V1430),"",OFFSET('Smelter Look-up'!$C$4,$V1430-4,0)&amp;"")</f>
        <v>Jiangxi Xinsheng Tungsten Industry Co., Ltd.</v>
      </c>
      <c r="S1430" s="181" t="str">
        <f t="shared" ca="1" si="200"/>
        <v>CN</v>
      </c>
      <c r="T1430" s="181" t="str">
        <f ca="1">IF(B1430="","",IF(ISERROR(MATCH($J1430,SorP!$B$1:$B$6226,0)),"",INDIRECT("'SorP'!$A$"&amp;MATCH($S1430&amp;$J1430,SorP!C:C,0))))</f>
        <v>CN-JX</v>
      </c>
      <c r="U1430" s="201"/>
      <c r="V1430" s="226">
        <f>IF(C1430="",NA(),IF(OR(C1430="Smelter not listed",C1430="Smelter not yet identified"),MATCH($B1430&amp;$D1430,'Smelter Look-up'!$J:$J,0),MATCH($B1430&amp;$C1430,'Smelter Look-up'!$J:$J,0)))</f>
        <v>624</v>
      </c>
      <c r="X1430" s="227">
        <f t="shared" si="201"/>
        <v>0</v>
      </c>
      <c r="AB1430" s="228" t="str">
        <f t="shared" si="202"/>
        <v>TungstenJiangxi Xinsheng Tungsten Industry Co., Ltd.</v>
      </c>
    </row>
    <row r="1431" spans="1:28" s="227" customFormat="1" ht="81">
      <c r="A1431" s="301" t="s">
        <v>139</v>
      </c>
      <c r="B1431" s="293" t="s">
        <v>1122</v>
      </c>
      <c r="C1431" s="294" t="s">
        <v>149</v>
      </c>
      <c r="D1431" s="295" t="s">
        <v>149</v>
      </c>
      <c r="E1431" s="293" t="s">
        <v>1090</v>
      </c>
      <c r="F1431" s="293" t="s">
        <v>139</v>
      </c>
      <c r="G1431" s="293" t="s">
        <v>13217</v>
      </c>
      <c r="H1431" s="296" t="s">
        <v>15855</v>
      </c>
      <c r="I1431" s="297" t="s">
        <v>1759</v>
      </c>
      <c r="J1431" s="297" t="s">
        <v>13596</v>
      </c>
      <c r="K1431" s="298" t="s">
        <v>17041</v>
      </c>
      <c r="L1431" s="298" t="s">
        <v>17051</v>
      </c>
      <c r="M1431" s="298" t="s">
        <v>17053</v>
      </c>
      <c r="N1431" s="298" t="s">
        <v>15862</v>
      </c>
      <c r="O1431" s="298" t="s">
        <v>17022</v>
      </c>
      <c r="P1431" s="299" t="s">
        <v>15857</v>
      </c>
      <c r="Q1431" s="300" t="s">
        <v>15855</v>
      </c>
      <c r="R1431" s="182" t="str">
        <f ca="1">IF(ISERROR($V1431),"",OFFSET('Smelter Look-up'!$C$4,$V1431-4,0)&amp;"")</f>
        <v>Jiangxi Xinsheng Tungsten Industry Co., Ltd.</v>
      </c>
      <c r="S1431" s="181" t="str">
        <f t="shared" ca="1" si="200"/>
        <v>CN</v>
      </c>
      <c r="T1431" s="181" t="str">
        <f ca="1">IF(B1431="","",IF(ISERROR(MATCH($J1431,SorP!$B$1:$B$6226,0)),"",INDIRECT("'SorP'!$A$"&amp;MATCH($S1431&amp;$J1431,SorP!C:C,0))))</f>
        <v>CN-JX</v>
      </c>
      <c r="U1431" s="201"/>
      <c r="V1431" s="226">
        <f>IF(C1431="",NA(),IF(OR(C1431="Smelter not listed",C1431="Smelter not yet identified"),MATCH($B1431&amp;$D1431,'Smelter Look-up'!$J:$J,0),MATCH($B1431&amp;$C1431,'Smelter Look-up'!$J:$J,0)))</f>
        <v>624</v>
      </c>
      <c r="X1431" s="227">
        <f t="shared" si="201"/>
        <v>0</v>
      </c>
      <c r="AB1431" s="228" t="str">
        <f t="shared" si="202"/>
        <v>TungstenJiangxi Xinsheng Tungsten Industry Co., Ltd.</v>
      </c>
    </row>
    <row r="1432" spans="1:28" s="227" customFormat="1" ht="81">
      <c r="A1432" s="301" t="s">
        <v>139</v>
      </c>
      <c r="B1432" s="293" t="s">
        <v>1122</v>
      </c>
      <c r="C1432" s="294" t="s">
        <v>149</v>
      </c>
      <c r="D1432" s="295" t="s">
        <v>149</v>
      </c>
      <c r="E1432" s="293" t="s">
        <v>1090</v>
      </c>
      <c r="F1432" s="293" t="s">
        <v>139</v>
      </c>
      <c r="G1432" s="293" t="s">
        <v>13217</v>
      </c>
      <c r="H1432" s="302" t="s">
        <v>15880</v>
      </c>
      <c r="I1432" s="297" t="s">
        <v>1759</v>
      </c>
      <c r="J1432" s="297" t="s">
        <v>13596</v>
      </c>
      <c r="K1432" s="298" t="s">
        <v>15855</v>
      </c>
      <c r="L1432" s="298" t="s">
        <v>15855</v>
      </c>
      <c r="M1432" s="298" t="s">
        <v>15855</v>
      </c>
      <c r="N1432" s="298" t="s">
        <v>15855</v>
      </c>
      <c r="O1432" s="298" t="s">
        <v>15855</v>
      </c>
      <c r="P1432" s="299" t="s">
        <v>15857</v>
      </c>
      <c r="Q1432" s="300" t="s">
        <v>15855</v>
      </c>
      <c r="R1432" s="182" t="str">
        <f ca="1">IF(ISERROR($V1432),"",OFFSET('Smelter Look-up'!$C$4,$V1432-4,0)&amp;"")</f>
        <v>Jiangxi Xinsheng Tungsten Industry Co., Ltd.</v>
      </c>
      <c r="S1432" s="181" t="str">
        <f t="shared" ca="1" si="200"/>
        <v>CN</v>
      </c>
      <c r="T1432" s="181" t="str">
        <f ca="1">IF(B1432="","",IF(ISERROR(MATCH($J1432,SorP!$B$1:$B$6226,0)),"",INDIRECT("'SorP'!$A$"&amp;MATCH($S1432&amp;$J1432,SorP!C:C,0))))</f>
        <v>CN-JX</v>
      </c>
      <c r="U1432" s="201"/>
      <c r="V1432" s="226">
        <f>IF(C1432="",NA(),IF(OR(C1432="Smelter not listed",C1432="Smelter not yet identified"),MATCH($B1432&amp;$D1432,'Smelter Look-up'!$J:$J,0),MATCH($B1432&amp;$C1432,'Smelter Look-up'!$J:$J,0)))</f>
        <v>624</v>
      </c>
      <c r="X1432" s="227">
        <f t="shared" si="201"/>
        <v>0</v>
      </c>
      <c r="AB1432" s="228" t="str">
        <f t="shared" si="202"/>
        <v>TungstenJiangxi Xinsheng Tungsten Industry Co., Ltd.</v>
      </c>
    </row>
    <row r="1433" spans="1:28" s="227" customFormat="1" ht="81">
      <c r="A1433" s="301" t="s">
        <v>138</v>
      </c>
      <c r="B1433" s="293" t="s">
        <v>1122</v>
      </c>
      <c r="C1433" s="294" t="s">
        <v>148</v>
      </c>
      <c r="D1433" s="295" t="s">
        <v>148</v>
      </c>
      <c r="E1433" s="293" t="s">
        <v>1090</v>
      </c>
      <c r="F1433" s="293" t="s">
        <v>138</v>
      </c>
      <c r="G1433" s="293" t="s">
        <v>13217</v>
      </c>
      <c r="H1433" s="296" t="s">
        <v>15855</v>
      </c>
      <c r="I1433" s="297" t="s">
        <v>1759</v>
      </c>
      <c r="J1433" s="297" t="s">
        <v>13596</v>
      </c>
      <c r="K1433" s="298" t="s">
        <v>15855</v>
      </c>
      <c r="L1433" s="298" t="s">
        <v>15855</v>
      </c>
      <c r="M1433" s="298" t="s">
        <v>15855</v>
      </c>
      <c r="N1433" s="298" t="s">
        <v>15855</v>
      </c>
      <c r="O1433" s="298" t="s">
        <v>15855</v>
      </c>
      <c r="P1433" s="299" t="s">
        <v>15857</v>
      </c>
      <c r="Q1433" s="300" t="s">
        <v>15855</v>
      </c>
      <c r="R1433" s="182" t="str">
        <f ca="1">IF(ISERROR($V1433),"",OFFSET('Smelter Look-up'!$C$4,$V1433-4,0)&amp;"")</f>
        <v>Jiangxi Yaosheng Tungsten Co., Ltd.</v>
      </c>
      <c r="S1433" s="181" t="str">
        <f t="shared" ca="1" si="200"/>
        <v>CN</v>
      </c>
      <c r="T1433" s="181" t="str">
        <f ca="1">IF(B1433="","",IF(ISERROR(MATCH($J1433,SorP!$B$1:$B$6226,0)),"",INDIRECT("'SorP'!$A$"&amp;MATCH($S1433&amp;$J1433,SorP!C:C,0))))</f>
        <v>CN-JX</v>
      </c>
      <c r="U1433" s="201"/>
      <c r="V1433" s="226">
        <f>IF(C1433="",NA(),IF(OR(C1433="Smelter not listed",C1433="Smelter not yet identified"),MATCH($B1433&amp;$D1433,'Smelter Look-up'!$J:$J,0),MATCH($B1433&amp;$C1433,'Smelter Look-up'!$J:$J,0)))</f>
        <v>625</v>
      </c>
      <c r="X1433" s="227">
        <f t="shared" si="201"/>
        <v>0</v>
      </c>
      <c r="AB1433" s="228" t="str">
        <f t="shared" si="202"/>
        <v>TungstenJiangxi Yaosheng Tungsten Co., Ltd.</v>
      </c>
    </row>
    <row r="1434" spans="1:28" s="227" customFormat="1" ht="81">
      <c r="A1434" s="301" t="s">
        <v>138</v>
      </c>
      <c r="B1434" s="293" t="s">
        <v>1122</v>
      </c>
      <c r="C1434" s="294" t="s">
        <v>148</v>
      </c>
      <c r="D1434" s="295" t="s">
        <v>148</v>
      </c>
      <c r="E1434" s="293" t="s">
        <v>1090</v>
      </c>
      <c r="F1434" s="293" t="s">
        <v>138</v>
      </c>
      <c r="G1434" s="293" t="s">
        <v>13217</v>
      </c>
      <c r="H1434" s="296" t="s">
        <v>15855</v>
      </c>
      <c r="I1434" s="297" t="s">
        <v>1759</v>
      </c>
      <c r="J1434" s="297" t="s">
        <v>13596</v>
      </c>
      <c r="K1434" s="298" t="s">
        <v>15855</v>
      </c>
      <c r="L1434" s="298" t="s">
        <v>15855</v>
      </c>
      <c r="M1434" s="298" t="s">
        <v>15855</v>
      </c>
      <c r="N1434" s="298" t="s">
        <v>15855</v>
      </c>
      <c r="O1434" s="298" t="s">
        <v>15858</v>
      </c>
      <c r="P1434" s="299" t="s">
        <v>15857</v>
      </c>
      <c r="Q1434" s="300" t="s">
        <v>15855</v>
      </c>
      <c r="R1434" s="182" t="str">
        <f ca="1">IF(ISERROR($V1434),"",OFFSET('Smelter Look-up'!$C$4,$V1434-4,0)&amp;"")</f>
        <v>Jiangxi Yaosheng Tungsten Co., Ltd.</v>
      </c>
      <c r="S1434" s="181" t="str">
        <f t="shared" ca="1" si="200"/>
        <v>CN</v>
      </c>
      <c r="T1434" s="181" t="str">
        <f ca="1">IF(B1434="","",IF(ISERROR(MATCH($J1434,SorP!$B$1:$B$6226,0)),"",INDIRECT("'SorP'!$A$"&amp;MATCH($S1434&amp;$J1434,SorP!C:C,0))))</f>
        <v>CN-JX</v>
      </c>
      <c r="U1434" s="201"/>
      <c r="V1434" s="226">
        <f>IF(C1434="",NA(),IF(OR(C1434="Smelter not listed",C1434="Smelter not yet identified"),MATCH($B1434&amp;$D1434,'Smelter Look-up'!$J:$J,0),MATCH($B1434&amp;$C1434,'Smelter Look-up'!$J:$J,0)))</f>
        <v>625</v>
      </c>
      <c r="X1434" s="227">
        <f t="shared" si="201"/>
        <v>0</v>
      </c>
      <c r="AB1434" s="228" t="str">
        <f t="shared" si="202"/>
        <v>TungstenJiangxi Yaosheng Tungsten Co., Ltd.</v>
      </c>
    </row>
    <row r="1435" spans="1:28" s="227" customFormat="1" ht="81">
      <c r="A1435" s="301" t="s">
        <v>138</v>
      </c>
      <c r="B1435" s="293" t="s">
        <v>1122</v>
      </c>
      <c r="C1435" s="294" t="s">
        <v>148</v>
      </c>
      <c r="D1435" s="295" t="s">
        <v>148</v>
      </c>
      <c r="E1435" s="293" t="s">
        <v>1090</v>
      </c>
      <c r="F1435" s="293" t="s">
        <v>138</v>
      </c>
      <c r="G1435" s="293" t="s">
        <v>13217</v>
      </c>
      <c r="H1435" s="296" t="s">
        <v>15855</v>
      </c>
      <c r="I1435" s="297" t="s">
        <v>1759</v>
      </c>
      <c r="J1435" s="297" t="s">
        <v>13596</v>
      </c>
      <c r="K1435" s="298" t="s">
        <v>17054</v>
      </c>
      <c r="L1435" s="298" t="s">
        <v>17055</v>
      </c>
      <c r="M1435" s="298" t="s">
        <v>17056</v>
      </c>
      <c r="N1435" s="298" t="s">
        <v>15862</v>
      </c>
      <c r="O1435" s="298" t="s">
        <v>17022</v>
      </c>
      <c r="P1435" s="299" t="s">
        <v>15857</v>
      </c>
      <c r="Q1435" s="300" t="s">
        <v>15855</v>
      </c>
      <c r="R1435" s="182" t="str">
        <f ca="1">IF(ISERROR($V1435),"",OFFSET('Smelter Look-up'!$C$4,$V1435-4,0)&amp;"")</f>
        <v>Jiangxi Yaosheng Tungsten Co., Ltd.</v>
      </c>
      <c r="S1435" s="181" t="str">
        <f t="shared" ca="1" si="200"/>
        <v>CN</v>
      </c>
      <c r="T1435" s="181" t="str">
        <f ca="1">IF(B1435="","",IF(ISERROR(MATCH($J1435,SorP!$B$1:$B$6226,0)),"",INDIRECT("'SorP'!$A$"&amp;MATCH($S1435&amp;$J1435,SorP!C:C,0))))</f>
        <v>CN-JX</v>
      </c>
      <c r="U1435" s="201"/>
      <c r="V1435" s="226">
        <f>IF(C1435="",NA(),IF(OR(C1435="Smelter not listed",C1435="Smelter not yet identified"),MATCH($B1435&amp;$D1435,'Smelter Look-up'!$J:$J,0),MATCH($B1435&amp;$C1435,'Smelter Look-up'!$J:$J,0)))</f>
        <v>625</v>
      </c>
      <c r="X1435" s="227">
        <f t="shared" si="201"/>
        <v>0</v>
      </c>
      <c r="AB1435" s="228" t="str">
        <f t="shared" si="202"/>
        <v>TungstenJiangxi Yaosheng Tungsten Co., Ltd.</v>
      </c>
    </row>
    <row r="1436" spans="1:28" s="227" customFormat="1" ht="81">
      <c r="A1436" s="301" t="s">
        <v>138</v>
      </c>
      <c r="B1436" s="293" t="s">
        <v>1122</v>
      </c>
      <c r="C1436" s="294" t="s">
        <v>148</v>
      </c>
      <c r="D1436" s="295" t="s">
        <v>148</v>
      </c>
      <c r="E1436" s="293" t="s">
        <v>1090</v>
      </c>
      <c r="F1436" s="293" t="s">
        <v>138</v>
      </c>
      <c r="G1436" s="293" t="s">
        <v>13217</v>
      </c>
      <c r="H1436" s="302" t="s">
        <v>15880</v>
      </c>
      <c r="I1436" s="297" t="s">
        <v>1759</v>
      </c>
      <c r="J1436" s="297" t="s">
        <v>13596</v>
      </c>
      <c r="K1436" s="298" t="s">
        <v>15855</v>
      </c>
      <c r="L1436" s="298" t="s">
        <v>15855</v>
      </c>
      <c r="M1436" s="298" t="s">
        <v>15855</v>
      </c>
      <c r="N1436" s="298" t="s">
        <v>15855</v>
      </c>
      <c r="O1436" s="298" t="s">
        <v>15855</v>
      </c>
      <c r="P1436" s="299" t="s">
        <v>15857</v>
      </c>
      <c r="Q1436" s="300" t="s">
        <v>15855</v>
      </c>
      <c r="R1436" s="182" t="str">
        <f ca="1">IF(ISERROR($V1436),"",OFFSET('Smelter Look-up'!$C$4,$V1436-4,0)&amp;"")</f>
        <v>Jiangxi Yaosheng Tungsten Co., Ltd.</v>
      </c>
      <c r="S1436" s="181" t="str">
        <f t="shared" ref="S1436:S1466" ca="1" si="203">IF(B1436="","",IF(ISERROR(MATCH($E1436,CL,0)),"Unknown",INDIRECT("'C'!$A$"&amp;MATCH($E1436,CL,0)+1)))</f>
        <v>CN</v>
      </c>
      <c r="T1436" s="181" t="str">
        <f ca="1">IF(B1436="","",IF(ISERROR(MATCH($J1436,SorP!$B$1:$B$6226,0)),"",INDIRECT("'SorP'!$A$"&amp;MATCH($S1436&amp;$J1436,SorP!C:C,0))))</f>
        <v>CN-JX</v>
      </c>
      <c r="U1436" s="201"/>
      <c r="V1436" s="226">
        <f>IF(C1436="",NA(),IF(OR(C1436="Smelter not listed",C1436="Smelter not yet identified"),MATCH($B1436&amp;$D1436,'Smelter Look-up'!$J:$J,0),MATCH($B1436&amp;$C1436,'Smelter Look-up'!$J:$J,0)))</f>
        <v>625</v>
      </c>
      <c r="X1436" s="227">
        <f t="shared" ref="X1436:X1466" si="204">IF(AND(C1436="Smelter not listed",OR(LEN(D1436)=0,LEN(E1436)=0)),1,0)</f>
        <v>0</v>
      </c>
      <c r="AB1436" s="228" t="str">
        <f t="shared" ref="AB1436:AB1466" si="205">B1436&amp;C1436</f>
        <v>TungstenJiangxi Yaosheng Tungsten Co., Ltd.</v>
      </c>
    </row>
    <row r="1437" spans="1:28" s="227" customFormat="1" ht="81">
      <c r="A1437" s="301" t="s">
        <v>13793</v>
      </c>
      <c r="B1437" s="293" t="s">
        <v>1122</v>
      </c>
      <c r="C1437" s="294" t="s">
        <v>13792</v>
      </c>
      <c r="D1437" s="295" t="s">
        <v>13792</v>
      </c>
      <c r="E1437" s="293" t="s">
        <v>873</v>
      </c>
      <c r="F1437" s="293" t="s">
        <v>13793</v>
      </c>
      <c r="G1437" s="293" t="s">
        <v>13217</v>
      </c>
      <c r="H1437" s="296" t="s">
        <v>15855</v>
      </c>
      <c r="I1437" s="297" t="s">
        <v>13805</v>
      </c>
      <c r="J1437" s="297" t="s">
        <v>9921</v>
      </c>
      <c r="K1437" s="298" t="s">
        <v>15855</v>
      </c>
      <c r="L1437" s="298" t="s">
        <v>15855</v>
      </c>
      <c r="M1437" s="298" t="s">
        <v>15855</v>
      </c>
      <c r="N1437" s="298" t="s">
        <v>15855</v>
      </c>
      <c r="O1437" s="298" t="s">
        <v>15855</v>
      </c>
      <c r="P1437" s="299" t="s">
        <v>15857</v>
      </c>
      <c r="Q1437" s="300" t="s">
        <v>15855</v>
      </c>
      <c r="R1437" s="182" t="str">
        <f ca="1">IF(ISERROR($V1437),"",OFFSET('Smelter Look-up'!$C$4,$V1437-4,0)&amp;"")</f>
        <v>JSC "Kirovgrad Hard Alloys Plant"</v>
      </c>
      <c r="S1437" s="181" t="str">
        <f t="shared" ca="1" si="203"/>
        <v>RU</v>
      </c>
      <c r="T1437" s="181" t="str">
        <f ca="1">IF(B1437="","",IF(ISERROR(MATCH($J1437,SorP!$B$1:$B$6226,0)),"",INDIRECT("'SorP'!$A$"&amp;MATCH($S1437&amp;$J1437,SorP!C:C,0))))</f>
        <v>RU-SVE</v>
      </c>
      <c r="U1437" s="201"/>
      <c r="V1437" s="226">
        <f>IF(C1437="",NA(),IF(OR(C1437="Smelter not listed",C1437="Smelter not yet identified"),MATCH($B1437&amp;$D1437,'Smelter Look-up'!$J:$J,0),MATCH($B1437&amp;$C1437,'Smelter Look-up'!$J:$J,0)))</f>
        <v>627</v>
      </c>
      <c r="X1437" s="227">
        <f t="shared" si="204"/>
        <v>0</v>
      </c>
      <c r="AB1437" s="228" t="str">
        <f t="shared" si="205"/>
        <v>TungstenJSC "Kirovgrad Hard Alloys Plant"</v>
      </c>
    </row>
    <row r="1438" spans="1:28" s="227" customFormat="1" ht="81">
      <c r="A1438" s="301" t="s">
        <v>13793</v>
      </c>
      <c r="B1438" s="293" t="s">
        <v>1122</v>
      </c>
      <c r="C1438" s="294" t="s">
        <v>13792</v>
      </c>
      <c r="D1438" s="295" t="s">
        <v>13792</v>
      </c>
      <c r="E1438" s="293" t="s">
        <v>873</v>
      </c>
      <c r="F1438" s="293" t="s">
        <v>13793</v>
      </c>
      <c r="G1438" s="293" t="s">
        <v>13217</v>
      </c>
      <c r="H1438" s="296" t="s">
        <v>15855</v>
      </c>
      <c r="I1438" s="297" t="s">
        <v>13805</v>
      </c>
      <c r="J1438" s="297" t="s">
        <v>9921</v>
      </c>
      <c r="K1438" s="298" t="s">
        <v>15855</v>
      </c>
      <c r="L1438" s="298" t="s">
        <v>15855</v>
      </c>
      <c r="M1438" s="298" t="s">
        <v>15855</v>
      </c>
      <c r="N1438" s="298" t="s">
        <v>15855</v>
      </c>
      <c r="O1438" s="298" t="s">
        <v>15858</v>
      </c>
      <c r="P1438" s="299" t="s">
        <v>15857</v>
      </c>
      <c r="Q1438" s="300" t="s">
        <v>15855</v>
      </c>
      <c r="R1438" s="182" t="str">
        <f ca="1">IF(ISERROR($V1438),"",OFFSET('Smelter Look-up'!$C$4,$V1438-4,0)&amp;"")</f>
        <v>JSC "Kirovgrad Hard Alloys Plant"</v>
      </c>
      <c r="S1438" s="181" t="str">
        <f t="shared" ca="1" si="203"/>
        <v>RU</v>
      </c>
      <c r="T1438" s="181" t="str">
        <f ca="1">IF(B1438="","",IF(ISERROR(MATCH($J1438,SorP!$B$1:$B$6226,0)),"",INDIRECT("'SorP'!$A$"&amp;MATCH($S1438&amp;$J1438,SorP!C:C,0))))</f>
        <v>RU-SVE</v>
      </c>
      <c r="U1438" s="201"/>
      <c r="V1438" s="226">
        <f>IF(C1438="",NA(),IF(OR(C1438="Smelter not listed",C1438="Smelter not yet identified"),MATCH($B1438&amp;$D1438,'Smelter Look-up'!$J:$J,0),MATCH($B1438&amp;$C1438,'Smelter Look-up'!$J:$J,0)))</f>
        <v>627</v>
      </c>
      <c r="X1438" s="227">
        <f t="shared" si="204"/>
        <v>0</v>
      </c>
      <c r="AB1438" s="228" t="str">
        <f t="shared" si="205"/>
        <v>TungstenJSC "Kirovgrad Hard Alloys Plant"</v>
      </c>
    </row>
    <row r="1439" spans="1:28" s="227" customFormat="1" ht="54">
      <c r="A1439" s="301" t="s">
        <v>791</v>
      </c>
      <c r="B1439" s="293" t="s">
        <v>1122</v>
      </c>
      <c r="C1439" s="294" t="s">
        <v>146</v>
      </c>
      <c r="D1439" s="295" t="s">
        <v>146</v>
      </c>
      <c r="E1439" s="293" t="s">
        <v>2415</v>
      </c>
      <c r="F1439" s="293" t="s">
        <v>791</v>
      </c>
      <c r="G1439" s="293" t="s">
        <v>13217</v>
      </c>
      <c r="H1439" s="296" t="s">
        <v>15855</v>
      </c>
      <c r="I1439" s="297" t="s">
        <v>1813</v>
      </c>
      <c r="J1439" s="297" t="s">
        <v>1742</v>
      </c>
      <c r="K1439" s="298" t="s">
        <v>15855</v>
      </c>
      <c r="L1439" s="298" t="s">
        <v>15855</v>
      </c>
      <c r="M1439" s="298" t="s">
        <v>15855</v>
      </c>
      <c r="N1439" s="298" t="s">
        <v>15855</v>
      </c>
      <c r="O1439" s="298" t="s">
        <v>15855</v>
      </c>
      <c r="P1439" s="299" t="s">
        <v>15857</v>
      </c>
      <c r="Q1439" s="300" t="s">
        <v>15855</v>
      </c>
      <c r="R1439" s="182" t="str">
        <f ca="1">IF(ISERROR($V1439),"",OFFSET('Smelter Look-up'!$C$4,$V1439-4,0)&amp;"")</f>
        <v>Kennametal Fallon</v>
      </c>
      <c r="S1439" s="181" t="str">
        <f t="shared" ca="1" si="203"/>
        <v>US</v>
      </c>
      <c r="T1439" s="181" t="str">
        <f ca="1">IF(B1439="","",IF(ISERROR(MATCH($J1439,SorP!$B$1:$B$6226,0)),"",INDIRECT("'SorP'!$A$"&amp;MATCH($S1439&amp;$J1439,SorP!C:C,0))))</f>
        <v>US-NV</v>
      </c>
      <c r="U1439" s="201"/>
      <c r="V1439" s="226">
        <f>IF(C1439="",NA(),IF(OR(C1439="Smelter not listed",C1439="Smelter not yet identified"),MATCH($B1439&amp;$D1439,'Smelter Look-up'!$J:$J,0),MATCH($B1439&amp;$C1439,'Smelter Look-up'!$J:$J,0)))</f>
        <v>629</v>
      </c>
      <c r="X1439" s="227">
        <f t="shared" si="204"/>
        <v>0</v>
      </c>
      <c r="AB1439" s="228" t="str">
        <f t="shared" si="205"/>
        <v>TungstenKennametal Fallon</v>
      </c>
    </row>
    <row r="1440" spans="1:28" s="227" customFormat="1" ht="54">
      <c r="A1440" s="301" t="s">
        <v>791</v>
      </c>
      <c r="B1440" s="293" t="s">
        <v>1122</v>
      </c>
      <c r="C1440" s="294" t="s">
        <v>146</v>
      </c>
      <c r="D1440" s="295" t="s">
        <v>146</v>
      </c>
      <c r="E1440" s="293" t="s">
        <v>2415</v>
      </c>
      <c r="F1440" s="293" t="s">
        <v>791</v>
      </c>
      <c r="G1440" s="293" t="s">
        <v>13217</v>
      </c>
      <c r="H1440" s="296" t="s">
        <v>15855</v>
      </c>
      <c r="I1440" s="297" t="s">
        <v>1813</v>
      </c>
      <c r="J1440" s="297" t="s">
        <v>1742</v>
      </c>
      <c r="K1440" s="298" t="s">
        <v>15855</v>
      </c>
      <c r="L1440" s="298" t="s">
        <v>15855</v>
      </c>
      <c r="M1440" s="298" t="s">
        <v>15855</v>
      </c>
      <c r="N1440" s="298" t="s">
        <v>15855</v>
      </c>
      <c r="O1440" s="298" t="s">
        <v>15925</v>
      </c>
      <c r="P1440" s="299" t="s">
        <v>15857</v>
      </c>
      <c r="Q1440" s="300" t="s">
        <v>15855</v>
      </c>
      <c r="R1440" s="182" t="str">
        <f ca="1">IF(ISERROR($V1440),"",OFFSET('Smelter Look-up'!$C$4,$V1440-4,0)&amp;"")</f>
        <v>Kennametal Fallon</v>
      </c>
      <c r="S1440" s="181" t="str">
        <f t="shared" ca="1" si="203"/>
        <v>US</v>
      </c>
      <c r="T1440" s="181" t="str">
        <f ca="1">IF(B1440="","",IF(ISERROR(MATCH($J1440,SorP!$B$1:$B$6226,0)),"",INDIRECT("'SorP'!$A$"&amp;MATCH($S1440&amp;$J1440,SorP!C:C,0))))</f>
        <v>US-NV</v>
      </c>
      <c r="U1440" s="201"/>
      <c r="V1440" s="226">
        <f>IF(C1440="",NA(),IF(OR(C1440="Smelter not listed",C1440="Smelter not yet identified"),MATCH($B1440&amp;$D1440,'Smelter Look-up'!$J:$J,0),MATCH($B1440&amp;$C1440,'Smelter Look-up'!$J:$J,0)))</f>
        <v>629</v>
      </c>
      <c r="X1440" s="227">
        <f t="shared" si="204"/>
        <v>0</v>
      </c>
      <c r="AB1440" s="228" t="str">
        <f t="shared" si="205"/>
        <v>TungstenKennametal Fallon</v>
      </c>
    </row>
    <row r="1441" spans="1:28" s="227" customFormat="1" ht="54">
      <c r="A1441" s="301" t="s">
        <v>791</v>
      </c>
      <c r="B1441" s="293" t="s">
        <v>1122</v>
      </c>
      <c r="C1441" s="294" t="s">
        <v>146</v>
      </c>
      <c r="D1441" s="295" t="s">
        <v>146</v>
      </c>
      <c r="E1441" s="293" t="s">
        <v>2415</v>
      </c>
      <c r="F1441" s="293" t="s">
        <v>791</v>
      </c>
      <c r="G1441" s="293" t="s">
        <v>13217</v>
      </c>
      <c r="H1441" s="296" t="s">
        <v>15855</v>
      </c>
      <c r="I1441" s="297" t="s">
        <v>1813</v>
      </c>
      <c r="J1441" s="297" t="s">
        <v>1742</v>
      </c>
      <c r="K1441" s="298" t="s">
        <v>17057</v>
      </c>
      <c r="L1441" s="298" t="s">
        <v>17058</v>
      </c>
      <c r="M1441" s="298" t="s">
        <v>15869</v>
      </c>
      <c r="N1441" s="298" t="s">
        <v>15870</v>
      </c>
      <c r="O1441" s="298" t="s">
        <v>16953</v>
      </c>
      <c r="P1441" s="299" t="s">
        <v>15857</v>
      </c>
      <c r="Q1441" s="300" t="s">
        <v>15855</v>
      </c>
      <c r="R1441" s="182" t="str">
        <f ca="1">IF(ISERROR($V1441),"",OFFSET('Smelter Look-up'!$C$4,$V1441-4,0)&amp;"")</f>
        <v>Kennametal Fallon</v>
      </c>
      <c r="S1441" s="181" t="str">
        <f t="shared" ca="1" si="203"/>
        <v>US</v>
      </c>
      <c r="T1441" s="181" t="str">
        <f ca="1">IF(B1441="","",IF(ISERROR(MATCH($J1441,SorP!$B$1:$B$6226,0)),"",INDIRECT("'SorP'!$A$"&amp;MATCH($S1441&amp;$J1441,SorP!C:C,0))))</f>
        <v>US-NV</v>
      </c>
      <c r="U1441" s="201"/>
      <c r="V1441" s="226">
        <f>IF(C1441="",NA(),IF(OR(C1441="Smelter not listed",C1441="Smelter not yet identified"),MATCH($B1441&amp;$D1441,'Smelter Look-up'!$J:$J,0),MATCH($B1441&amp;$C1441,'Smelter Look-up'!$J:$J,0)))</f>
        <v>629</v>
      </c>
      <c r="X1441" s="227">
        <f t="shared" si="204"/>
        <v>0</v>
      </c>
      <c r="AB1441" s="228" t="str">
        <f t="shared" si="205"/>
        <v>TungstenKennametal Fallon</v>
      </c>
    </row>
    <row r="1442" spans="1:28" s="227" customFormat="1" ht="67.5">
      <c r="A1442" s="301" t="s">
        <v>784</v>
      </c>
      <c r="B1442" s="293" t="s">
        <v>1122</v>
      </c>
      <c r="C1442" s="294" t="s">
        <v>145</v>
      </c>
      <c r="D1442" s="295" t="s">
        <v>145</v>
      </c>
      <c r="E1442" s="293" t="s">
        <v>2415</v>
      </c>
      <c r="F1442" s="293" t="s">
        <v>784</v>
      </c>
      <c r="G1442" s="293" t="s">
        <v>13217</v>
      </c>
      <c r="H1442" s="296" t="s">
        <v>15855</v>
      </c>
      <c r="I1442" s="297" t="s">
        <v>1808</v>
      </c>
      <c r="J1442" s="297" t="s">
        <v>1809</v>
      </c>
      <c r="K1442" s="298" t="s">
        <v>15855</v>
      </c>
      <c r="L1442" s="298" t="s">
        <v>15855</v>
      </c>
      <c r="M1442" s="298" t="s">
        <v>15855</v>
      </c>
      <c r="N1442" s="298" t="s">
        <v>15855</v>
      </c>
      <c r="O1442" s="298" t="s">
        <v>15855</v>
      </c>
      <c r="P1442" s="299" t="s">
        <v>15857</v>
      </c>
      <c r="Q1442" s="300" t="s">
        <v>15855</v>
      </c>
      <c r="R1442" s="182" t="str">
        <f ca="1">IF(ISERROR($V1442),"",OFFSET('Smelter Look-up'!$C$4,$V1442-4,0)&amp;"")</f>
        <v>Kennametal Huntsville</v>
      </c>
      <c r="S1442" s="181" t="str">
        <f t="shared" ca="1" si="203"/>
        <v>US</v>
      </c>
      <c r="T1442" s="181" t="str">
        <f ca="1">IF(B1442="","",IF(ISERROR(MATCH($J1442,SorP!$B$1:$B$6226,0)),"",INDIRECT("'SorP'!$A$"&amp;MATCH($S1442&amp;$J1442,SorP!C:C,0))))</f>
        <v>US-AL</v>
      </c>
      <c r="U1442" s="201"/>
      <c r="V1442" s="226">
        <f>IF(C1442="",NA(),IF(OR(C1442="Smelter not listed",C1442="Smelter not yet identified"),MATCH($B1442&amp;$D1442,'Smelter Look-up'!$J:$J,0),MATCH($B1442&amp;$C1442,'Smelter Look-up'!$J:$J,0)))</f>
        <v>630</v>
      </c>
      <c r="X1442" s="227">
        <f t="shared" si="204"/>
        <v>0</v>
      </c>
      <c r="AB1442" s="228" t="str">
        <f t="shared" si="205"/>
        <v>TungstenKennametal Huntsville</v>
      </c>
    </row>
    <row r="1443" spans="1:28" s="227" customFormat="1" ht="67.5">
      <c r="A1443" s="301" t="s">
        <v>784</v>
      </c>
      <c r="B1443" s="293" t="s">
        <v>1122</v>
      </c>
      <c r="C1443" s="294" t="s">
        <v>145</v>
      </c>
      <c r="D1443" s="295" t="s">
        <v>145</v>
      </c>
      <c r="E1443" s="293" t="s">
        <v>2415</v>
      </c>
      <c r="F1443" s="293" t="s">
        <v>784</v>
      </c>
      <c r="G1443" s="293" t="s">
        <v>13217</v>
      </c>
      <c r="H1443" s="296" t="s">
        <v>15855</v>
      </c>
      <c r="I1443" s="297" t="s">
        <v>1808</v>
      </c>
      <c r="J1443" s="297" t="s">
        <v>1809</v>
      </c>
      <c r="K1443" s="298" t="s">
        <v>15855</v>
      </c>
      <c r="L1443" s="298" t="s">
        <v>15855</v>
      </c>
      <c r="M1443" s="298" t="s">
        <v>15855</v>
      </c>
      <c r="N1443" s="298" t="s">
        <v>15855</v>
      </c>
      <c r="O1443" s="298" t="s">
        <v>15925</v>
      </c>
      <c r="P1443" s="299" t="s">
        <v>15857</v>
      </c>
      <c r="Q1443" s="300" t="s">
        <v>15855</v>
      </c>
      <c r="R1443" s="182" t="str">
        <f ca="1">IF(ISERROR($V1443),"",OFFSET('Smelter Look-up'!$C$4,$V1443-4,0)&amp;"")</f>
        <v>Kennametal Huntsville</v>
      </c>
      <c r="S1443" s="181" t="str">
        <f t="shared" ca="1" si="203"/>
        <v>US</v>
      </c>
      <c r="T1443" s="181" t="str">
        <f ca="1">IF(B1443="","",IF(ISERROR(MATCH($J1443,SorP!$B$1:$B$6226,0)),"",INDIRECT("'SorP'!$A$"&amp;MATCH($S1443&amp;$J1443,SorP!C:C,0))))</f>
        <v>US-AL</v>
      </c>
      <c r="U1443" s="201"/>
      <c r="V1443" s="226">
        <f>IF(C1443="",NA(),IF(OR(C1443="Smelter not listed",C1443="Smelter not yet identified"),MATCH($B1443&amp;$D1443,'Smelter Look-up'!$J:$J,0),MATCH($B1443&amp;$C1443,'Smelter Look-up'!$J:$J,0)))</f>
        <v>630</v>
      </c>
      <c r="X1443" s="227">
        <f t="shared" si="204"/>
        <v>0</v>
      </c>
      <c r="AB1443" s="228" t="str">
        <f t="shared" si="205"/>
        <v>TungstenKennametal Huntsville</v>
      </c>
    </row>
    <row r="1444" spans="1:28" s="227" customFormat="1" ht="67.5">
      <c r="A1444" s="301" t="s">
        <v>784</v>
      </c>
      <c r="B1444" s="293" t="s">
        <v>1122</v>
      </c>
      <c r="C1444" s="294" t="s">
        <v>145</v>
      </c>
      <c r="D1444" s="295" t="s">
        <v>145</v>
      </c>
      <c r="E1444" s="293" t="s">
        <v>2415</v>
      </c>
      <c r="F1444" s="293" t="s">
        <v>784</v>
      </c>
      <c r="G1444" s="293" t="s">
        <v>13217</v>
      </c>
      <c r="H1444" s="296" t="s">
        <v>15855</v>
      </c>
      <c r="I1444" s="297" t="s">
        <v>1808</v>
      </c>
      <c r="J1444" s="297" t="s">
        <v>1809</v>
      </c>
      <c r="K1444" s="298" t="s">
        <v>17057</v>
      </c>
      <c r="L1444" s="298" t="s">
        <v>17058</v>
      </c>
      <c r="M1444" s="298" t="s">
        <v>15869</v>
      </c>
      <c r="N1444" s="298" t="s">
        <v>15870</v>
      </c>
      <c r="O1444" s="298" t="s">
        <v>16953</v>
      </c>
      <c r="P1444" s="299" t="s">
        <v>15857</v>
      </c>
      <c r="Q1444" s="300" t="s">
        <v>15855</v>
      </c>
      <c r="R1444" s="182" t="str">
        <f ca="1">IF(ISERROR($V1444),"",OFFSET('Smelter Look-up'!$C$4,$V1444-4,0)&amp;"")</f>
        <v>Kennametal Huntsville</v>
      </c>
      <c r="S1444" s="181" t="str">
        <f t="shared" ca="1" si="203"/>
        <v>US</v>
      </c>
      <c r="T1444" s="181" t="str">
        <f ca="1">IF(B1444="","",IF(ISERROR(MATCH($J1444,SorP!$B$1:$B$6226,0)),"",INDIRECT("'SorP'!$A$"&amp;MATCH($S1444&amp;$J1444,SorP!C:C,0))))</f>
        <v>US-AL</v>
      </c>
      <c r="U1444" s="201"/>
      <c r="V1444" s="226">
        <f>IF(C1444="",NA(),IF(OR(C1444="Smelter not listed",C1444="Smelter not yet identified"),MATCH($B1444&amp;$D1444,'Smelter Look-up'!$J:$J,0),MATCH($B1444&amp;$C1444,'Smelter Look-up'!$J:$J,0)))</f>
        <v>630</v>
      </c>
      <c r="X1444" s="227">
        <f t="shared" si="204"/>
        <v>0</v>
      </c>
      <c r="AB1444" s="228" t="str">
        <f t="shared" si="205"/>
        <v>TungstenKennametal Huntsville</v>
      </c>
    </row>
    <row r="1445" spans="1:28" s="227" customFormat="1" ht="67.5">
      <c r="A1445" s="301" t="s">
        <v>784</v>
      </c>
      <c r="B1445" s="293" t="s">
        <v>1122</v>
      </c>
      <c r="C1445" s="294" t="s">
        <v>145</v>
      </c>
      <c r="D1445" s="295" t="s">
        <v>145</v>
      </c>
      <c r="E1445" s="293" t="s">
        <v>2415</v>
      </c>
      <c r="F1445" s="293" t="s">
        <v>784</v>
      </c>
      <c r="G1445" s="293" t="s">
        <v>13217</v>
      </c>
      <c r="H1445" s="302" t="s">
        <v>15880</v>
      </c>
      <c r="I1445" s="297" t="s">
        <v>1808</v>
      </c>
      <c r="J1445" s="297" t="s">
        <v>1809</v>
      </c>
      <c r="K1445" s="298" t="s">
        <v>15855</v>
      </c>
      <c r="L1445" s="298" t="s">
        <v>15855</v>
      </c>
      <c r="M1445" s="298" t="s">
        <v>15855</v>
      </c>
      <c r="N1445" s="298" t="s">
        <v>15855</v>
      </c>
      <c r="O1445" s="298" t="s">
        <v>15855</v>
      </c>
      <c r="P1445" s="299" t="s">
        <v>15857</v>
      </c>
      <c r="Q1445" s="300" t="s">
        <v>15855</v>
      </c>
      <c r="R1445" s="182" t="str">
        <f ca="1">IF(ISERROR($V1445),"",OFFSET('Smelter Look-up'!$C$4,$V1445-4,0)&amp;"")</f>
        <v>Kennametal Huntsville</v>
      </c>
      <c r="S1445" s="181" t="str">
        <f t="shared" ca="1" si="203"/>
        <v>US</v>
      </c>
      <c r="T1445" s="181" t="str">
        <f ca="1">IF(B1445="","",IF(ISERROR(MATCH($J1445,SorP!$B$1:$B$6226,0)),"",INDIRECT("'SorP'!$A$"&amp;MATCH($S1445&amp;$J1445,SorP!C:C,0))))</f>
        <v>US-AL</v>
      </c>
      <c r="U1445" s="201"/>
      <c r="V1445" s="226">
        <f>IF(C1445="",NA(),IF(OR(C1445="Smelter not listed",C1445="Smelter not yet identified"),MATCH($B1445&amp;$D1445,'Smelter Look-up'!$J:$J,0),MATCH($B1445&amp;$C1445,'Smelter Look-up'!$J:$J,0)))</f>
        <v>630</v>
      </c>
      <c r="X1445" s="227">
        <f t="shared" si="204"/>
        <v>0</v>
      </c>
      <c r="AB1445" s="228" t="str">
        <f t="shared" si="205"/>
        <v>TungstenKennametal Huntsville</v>
      </c>
    </row>
    <row r="1446" spans="1:28" s="227" customFormat="1" ht="40.5">
      <c r="A1446" s="301" t="s">
        <v>17059</v>
      </c>
      <c r="B1446" s="293" t="s">
        <v>1122</v>
      </c>
      <c r="C1446" s="294" t="s">
        <v>17060</v>
      </c>
      <c r="D1446" s="295" t="s">
        <v>17060</v>
      </c>
      <c r="E1446" s="293" t="s">
        <v>1101</v>
      </c>
      <c r="F1446" s="293" t="s">
        <v>17059</v>
      </c>
      <c r="G1446" s="293" t="s">
        <v>13217</v>
      </c>
      <c r="H1446" s="296" t="s">
        <v>15855</v>
      </c>
      <c r="I1446" s="297" t="s">
        <v>17061</v>
      </c>
      <c r="J1446" s="297" t="s">
        <v>12849</v>
      </c>
      <c r="K1446" s="298" t="s">
        <v>15855</v>
      </c>
      <c r="L1446" s="298" t="s">
        <v>15855</v>
      </c>
      <c r="M1446" s="298" t="s">
        <v>15855</v>
      </c>
      <c r="N1446" s="298" t="s">
        <v>15855</v>
      </c>
      <c r="O1446" s="298" t="s">
        <v>15855</v>
      </c>
      <c r="P1446" s="299" t="s">
        <v>15857</v>
      </c>
      <c r="Q1446" s="300" t="s">
        <v>15855</v>
      </c>
      <c r="R1446" s="182" t="str">
        <f ca="1">IF(ISERROR($V1446),"",OFFSET('Smelter Look-up'!$C$4,$V1446-4,0)&amp;"")</f>
        <v/>
      </c>
      <c r="S1446" s="181" t="str">
        <f t="shared" ca="1" si="203"/>
        <v>KR</v>
      </c>
      <c r="T1446" s="181" t="str">
        <f ca="1">IF(B1446="","",IF(ISERROR(MATCH($J1446,SorP!$B$1:$B$6226,0)),"",INDIRECT("'SorP'!$A$"&amp;MATCH($S1446&amp;$J1446,SorP!C:C,0))))</f>
        <v>KR-41</v>
      </c>
      <c r="U1446" s="201"/>
      <c r="V1446" s="226" t="e">
        <f>IF(C1446="",NA(),IF(OR(C1446="Smelter not listed",C1446="Smelter not yet identified"),MATCH($B1446&amp;$D1446,'Smelter Look-up'!$J:$J,0),MATCH($B1446&amp;$C1446,'Smelter Look-up'!$J:$J,0)))</f>
        <v>#N/A</v>
      </c>
      <c r="X1446" s="227">
        <f t="shared" si="204"/>
        <v>0</v>
      </c>
      <c r="AB1446" s="228" t="str">
        <f t="shared" si="205"/>
        <v>TungstenKGETS Co., Ltd.</v>
      </c>
    </row>
    <row r="1447" spans="1:28" s="227" customFormat="1" ht="40.5">
      <c r="A1447" s="301" t="s">
        <v>17059</v>
      </c>
      <c r="B1447" s="293" t="s">
        <v>1122</v>
      </c>
      <c r="C1447" s="294" t="s">
        <v>17060</v>
      </c>
      <c r="D1447" s="295" t="s">
        <v>17060</v>
      </c>
      <c r="E1447" s="293" t="s">
        <v>1101</v>
      </c>
      <c r="F1447" s="293" t="s">
        <v>17059</v>
      </c>
      <c r="G1447" s="293" t="s">
        <v>13217</v>
      </c>
      <c r="H1447" s="296" t="s">
        <v>15855</v>
      </c>
      <c r="I1447" s="297" t="s">
        <v>17061</v>
      </c>
      <c r="J1447" s="297" t="s">
        <v>12849</v>
      </c>
      <c r="K1447" s="298" t="s">
        <v>17062</v>
      </c>
      <c r="L1447" s="298" t="s">
        <v>17063</v>
      </c>
      <c r="M1447" s="298" t="s">
        <v>15892</v>
      </c>
      <c r="N1447" s="298" t="s">
        <v>15876</v>
      </c>
      <c r="O1447" s="298" t="s">
        <v>15879</v>
      </c>
      <c r="P1447" s="299" t="s">
        <v>15875</v>
      </c>
      <c r="Q1447" s="300" t="s">
        <v>15855</v>
      </c>
      <c r="R1447" s="182" t="str">
        <f ca="1">IF(ISERROR($V1447),"",OFFSET('Smelter Look-up'!$C$4,$V1447-4,0)&amp;"")</f>
        <v/>
      </c>
      <c r="S1447" s="181" t="str">
        <f t="shared" ca="1" si="203"/>
        <v>KR</v>
      </c>
      <c r="T1447" s="181" t="str">
        <f ca="1">IF(B1447="","",IF(ISERROR(MATCH($J1447,SorP!$B$1:$B$6226,0)),"",INDIRECT("'SorP'!$A$"&amp;MATCH($S1447&amp;$J1447,SorP!C:C,0))))</f>
        <v>KR-41</v>
      </c>
      <c r="U1447" s="201"/>
      <c r="V1447" s="226" t="e">
        <f>IF(C1447="",NA(),IF(OR(C1447="Smelter not listed",C1447="Smelter not yet identified"),MATCH($B1447&amp;$D1447,'Smelter Look-up'!$J:$J,0),MATCH($B1447&amp;$C1447,'Smelter Look-up'!$J:$J,0)))</f>
        <v>#N/A</v>
      </c>
      <c r="X1447" s="227">
        <f t="shared" si="204"/>
        <v>0</v>
      </c>
      <c r="AB1447" s="228" t="str">
        <f t="shared" si="205"/>
        <v>TungstenKGETS Co., Ltd.</v>
      </c>
    </row>
    <row r="1448" spans="1:28" s="227" customFormat="1" ht="54">
      <c r="A1448" s="301" t="s">
        <v>13795</v>
      </c>
      <c r="B1448" s="293" t="s">
        <v>1122</v>
      </c>
      <c r="C1448" s="294" t="s">
        <v>13794</v>
      </c>
      <c r="D1448" s="295" t="s">
        <v>13794</v>
      </c>
      <c r="E1448" s="293" t="s">
        <v>2414</v>
      </c>
      <c r="F1448" s="293" t="s">
        <v>13795</v>
      </c>
      <c r="G1448" s="293" t="s">
        <v>13217</v>
      </c>
      <c r="H1448" s="296" t="s">
        <v>15855</v>
      </c>
      <c r="I1448" s="297" t="s">
        <v>13806</v>
      </c>
      <c r="J1448" s="297" t="s">
        <v>11462</v>
      </c>
      <c r="K1448" s="298" t="s">
        <v>15855</v>
      </c>
      <c r="L1448" s="298" t="s">
        <v>15855</v>
      </c>
      <c r="M1448" s="298" t="s">
        <v>15855</v>
      </c>
      <c r="N1448" s="298" t="s">
        <v>15855</v>
      </c>
      <c r="O1448" s="298" t="s">
        <v>15855</v>
      </c>
      <c r="P1448" s="299" t="s">
        <v>15857</v>
      </c>
      <c r="Q1448" s="300" t="s">
        <v>15855</v>
      </c>
      <c r="R1448" s="182" t="str">
        <f ca="1">IF(ISERROR($V1448),"",OFFSET('Smelter Look-up'!$C$4,$V1448-4,0)&amp;"")</f>
        <v>Lianyou Metals Co., Ltd.</v>
      </c>
      <c r="S1448" s="181" t="str">
        <f t="shared" ca="1" si="203"/>
        <v>TW</v>
      </c>
      <c r="T1448" s="181" t="str">
        <f ca="1">IF(B1448="","",IF(ISERROR(MATCH($J1448,SorP!$B$1:$B$6226,0)),"",INDIRECT("'SorP'!$A$"&amp;MATCH($S1448&amp;$J1448,SorP!C:C,0))))</f>
        <v>TW-PIF</v>
      </c>
      <c r="U1448" s="201"/>
      <c r="V1448" s="226">
        <f>IF(C1448="",NA(),IF(OR(C1448="Smelter not listed",C1448="Smelter not yet identified"),MATCH($B1448&amp;$D1448,'Smelter Look-up'!$J:$J,0),MATCH($B1448&amp;$C1448,'Smelter Look-up'!$J:$J,0)))</f>
        <v>631</v>
      </c>
      <c r="X1448" s="227">
        <f t="shared" si="204"/>
        <v>0</v>
      </c>
      <c r="AB1448" s="228" t="str">
        <f t="shared" si="205"/>
        <v>TungstenLianyou Metals Co., Ltd.</v>
      </c>
    </row>
    <row r="1449" spans="1:28" s="227" customFormat="1" ht="54">
      <c r="A1449" s="301" t="s">
        <v>13795</v>
      </c>
      <c r="B1449" s="293" t="s">
        <v>1122</v>
      </c>
      <c r="C1449" s="294" t="s">
        <v>13794</v>
      </c>
      <c r="D1449" s="295" t="s">
        <v>13794</v>
      </c>
      <c r="E1449" s="293" t="s">
        <v>2414</v>
      </c>
      <c r="F1449" s="293" t="s">
        <v>13795</v>
      </c>
      <c r="G1449" s="293" t="s">
        <v>13217</v>
      </c>
      <c r="H1449" s="296" t="s">
        <v>15855</v>
      </c>
      <c r="I1449" s="297" t="s">
        <v>13806</v>
      </c>
      <c r="J1449" s="297" t="s">
        <v>11462</v>
      </c>
      <c r="K1449" s="298" t="s">
        <v>15855</v>
      </c>
      <c r="L1449" s="298" t="s">
        <v>15855</v>
      </c>
      <c r="M1449" s="298" t="s">
        <v>15855</v>
      </c>
      <c r="N1449" s="298" t="s">
        <v>15855</v>
      </c>
      <c r="O1449" s="298" t="s">
        <v>15925</v>
      </c>
      <c r="P1449" s="299" t="s">
        <v>15857</v>
      </c>
      <c r="Q1449" s="300" t="s">
        <v>15855</v>
      </c>
      <c r="R1449" s="182" t="str">
        <f ca="1">IF(ISERROR($V1449),"",OFFSET('Smelter Look-up'!$C$4,$V1449-4,0)&amp;"")</f>
        <v>Lianyou Metals Co., Ltd.</v>
      </c>
      <c r="S1449" s="181" t="str">
        <f t="shared" ca="1" si="203"/>
        <v>TW</v>
      </c>
      <c r="T1449" s="181" t="str">
        <f ca="1">IF(B1449="","",IF(ISERROR(MATCH($J1449,SorP!$B$1:$B$6226,0)),"",INDIRECT("'SorP'!$A$"&amp;MATCH($S1449&amp;$J1449,SorP!C:C,0))))</f>
        <v>TW-PIF</v>
      </c>
      <c r="U1449" s="201"/>
      <c r="V1449" s="226">
        <f>IF(C1449="",NA(),IF(OR(C1449="Smelter not listed",C1449="Smelter not yet identified"),MATCH($B1449&amp;$D1449,'Smelter Look-up'!$J:$J,0),MATCH($B1449&amp;$C1449,'Smelter Look-up'!$J:$J,0)))</f>
        <v>631</v>
      </c>
      <c r="X1449" s="227">
        <f t="shared" si="204"/>
        <v>0</v>
      </c>
      <c r="AB1449" s="228" t="str">
        <f t="shared" si="205"/>
        <v>TungstenLianyou Metals Co., Ltd.</v>
      </c>
    </row>
    <row r="1450" spans="1:28" s="227" customFormat="1" ht="54">
      <c r="A1450" s="301" t="s">
        <v>13795</v>
      </c>
      <c r="B1450" s="293" t="s">
        <v>1122</v>
      </c>
      <c r="C1450" s="294" t="s">
        <v>13794</v>
      </c>
      <c r="D1450" s="295" t="s">
        <v>13794</v>
      </c>
      <c r="E1450" s="293" t="s">
        <v>2414</v>
      </c>
      <c r="F1450" s="293" t="s">
        <v>13795</v>
      </c>
      <c r="G1450" s="293" t="s">
        <v>13217</v>
      </c>
      <c r="H1450" s="296" t="s">
        <v>15855</v>
      </c>
      <c r="I1450" s="297" t="s">
        <v>13806</v>
      </c>
      <c r="J1450" s="297" t="s">
        <v>11462</v>
      </c>
      <c r="K1450" s="298" t="s">
        <v>17064</v>
      </c>
      <c r="L1450" s="298" t="s">
        <v>17065</v>
      </c>
      <c r="M1450" s="298" t="s">
        <v>17066</v>
      </c>
      <c r="N1450" s="298" t="s">
        <v>15876</v>
      </c>
      <c r="O1450" s="298" t="s">
        <v>15879</v>
      </c>
      <c r="P1450" s="299" t="s">
        <v>15875</v>
      </c>
      <c r="Q1450" s="300" t="s">
        <v>15855</v>
      </c>
      <c r="R1450" s="182" t="str">
        <f ca="1">IF(ISERROR($V1450),"",OFFSET('Smelter Look-up'!$C$4,$V1450-4,0)&amp;"")</f>
        <v>Lianyou Metals Co., Ltd.</v>
      </c>
      <c r="S1450" s="181" t="str">
        <f t="shared" ca="1" si="203"/>
        <v>TW</v>
      </c>
      <c r="T1450" s="181" t="str">
        <f ca="1">IF(B1450="","",IF(ISERROR(MATCH($J1450,SorP!$B$1:$B$6226,0)),"",INDIRECT("'SorP'!$A$"&amp;MATCH($S1450&amp;$J1450,SorP!C:C,0))))</f>
        <v>TW-PIF</v>
      </c>
      <c r="U1450" s="201"/>
      <c r="V1450" s="226">
        <f>IF(C1450="",NA(),IF(OR(C1450="Smelter not listed",C1450="Smelter not yet identified"),MATCH($B1450&amp;$D1450,'Smelter Look-up'!$J:$J,0),MATCH($B1450&amp;$C1450,'Smelter Look-up'!$J:$J,0)))</f>
        <v>631</v>
      </c>
      <c r="X1450" s="227">
        <f t="shared" si="204"/>
        <v>0</v>
      </c>
      <c r="AB1450" s="228" t="str">
        <f t="shared" si="205"/>
        <v>TungstenLianyou Metals Co., Ltd.</v>
      </c>
    </row>
    <row r="1451" spans="1:28" s="227" customFormat="1" ht="54">
      <c r="A1451" s="301" t="s">
        <v>13795</v>
      </c>
      <c r="B1451" s="293" t="s">
        <v>1122</v>
      </c>
      <c r="C1451" s="294" t="s">
        <v>13794</v>
      </c>
      <c r="D1451" s="295" t="s">
        <v>13794</v>
      </c>
      <c r="E1451" s="293" t="s">
        <v>2414</v>
      </c>
      <c r="F1451" s="293" t="s">
        <v>13795</v>
      </c>
      <c r="G1451" s="293" t="s">
        <v>13217</v>
      </c>
      <c r="H1451" s="302" t="s">
        <v>15880</v>
      </c>
      <c r="I1451" s="297" t="s">
        <v>13806</v>
      </c>
      <c r="J1451" s="297" t="s">
        <v>11462</v>
      </c>
      <c r="K1451" s="298" t="s">
        <v>15855</v>
      </c>
      <c r="L1451" s="298" t="s">
        <v>15855</v>
      </c>
      <c r="M1451" s="298" t="s">
        <v>15855</v>
      </c>
      <c r="N1451" s="298" t="s">
        <v>15855</v>
      </c>
      <c r="O1451" s="298" t="s">
        <v>15855</v>
      </c>
      <c r="P1451" s="299" t="s">
        <v>15857</v>
      </c>
      <c r="Q1451" s="300" t="s">
        <v>15855</v>
      </c>
      <c r="R1451" s="182" t="str">
        <f ca="1">IF(ISERROR($V1451),"",OFFSET('Smelter Look-up'!$C$4,$V1451-4,0)&amp;"")</f>
        <v>Lianyou Metals Co., Ltd.</v>
      </c>
      <c r="S1451" s="181" t="str">
        <f t="shared" ca="1" si="203"/>
        <v>TW</v>
      </c>
      <c r="T1451" s="181" t="str">
        <f ca="1">IF(B1451="","",IF(ISERROR(MATCH($J1451,SorP!$B$1:$B$6226,0)),"",INDIRECT("'SorP'!$A$"&amp;MATCH($S1451&amp;$J1451,SorP!C:C,0))))</f>
        <v>TW-PIF</v>
      </c>
      <c r="U1451" s="201"/>
      <c r="V1451" s="226">
        <f>IF(C1451="",NA(),IF(OR(C1451="Smelter not listed",C1451="Smelter not yet identified"),MATCH($B1451&amp;$D1451,'Smelter Look-up'!$J:$J,0),MATCH($B1451&amp;$C1451,'Smelter Look-up'!$J:$J,0)))</f>
        <v>631</v>
      </c>
      <c r="X1451" s="227">
        <f t="shared" si="204"/>
        <v>0</v>
      </c>
      <c r="AB1451" s="228" t="str">
        <f t="shared" si="205"/>
        <v>TungstenLianyou Metals Co., Ltd.</v>
      </c>
    </row>
    <row r="1452" spans="1:28" s="227" customFormat="1" ht="40.5">
      <c r="A1452" s="301" t="s">
        <v>15471</v>
      </c>
      <c r="B1452" s="293" t="s">
        <v>1122</v>
      </c>
      <c r="C1452" s="294" t="s">
        <v>15470</v>
      </c>
      <c r="D1452" s="295" t="s">
        <v>15470</v>
      </c>
      <c r="E1452" s="293" t="s">
        <v>873</v>
      </c>
      <c r="F1452" s="293" t="s">
        <v>15471</v>
      </c>
      <c r="G1452" s="293" t="s">
        <v>13217</v>
      </c>
      <c r="H1452" s="296" t="s">
        <v>15855</v>
      </c>
      <c r="I1452" s="297" t="s">
        <v>15472</v>
      </c>
      <c r="J1452" s="297" t="s">
        <v>9957</v>
      </c>
      <c r="K1452" s="298" t="s">
        <v>15855</v>
      </c>
      <c r="L1452" s="298" t="s">
        <v>15855</v>
      </c>
      <c r="M1452" s="298" t="s">
        <v>15855</v>
      </c>
      <c r="N1452" s="298" t="s">
        <v>15855</v>
      </c>
      <c r="O1452" s="298" t="s">
        <v>15858</v>
      </c>
      <c r="P1452" s="299" t="s">
        <v>15857</v>
      </c>
      <c r="Q1452" s="300" t="s">
        <v>15855</v>
      </c>
      <c r="R1452" s="182" t="str">
        <f ca="1">IF(ISERROR($V1452),"",OFFSET('Smelter Look-up'!$C$4,$V1452-4,0)&amp;"")</f>
        <v>LLC Vostok</v>
      </c>
      <c r="S1452" s="181" t="str">
        <f t="shared" ca="1" si="203"/>
        <v>RU</v>
      </c>
      <c r="T1452" s="181" t="str">
        <f ca="1">IF(B1452="","",IF(ISERROR(MATCH($J1452,SorP!$B$1:$B$6226,0)),"",INDIRECT("'SorP'!$A$"&amp;MATCH($S1452&amp;$J1452,SorP!C:C,0))))</f>
        <v>RU-KOS</v>
      </c>
      <c r="U1452" s="201"/>
      <c r="V1452" s="226">
        <f>IF(C1452="",NA(),IF(OR(C1452="Smelter not listed",C1452="Smelter not yet identified"),MATCH($B1452&amp;$D1452,'Smelter Look-up'!$J:$J,0),MATCH($B1452&amp;$C1452,'Smelter Look-up'!$J:$J,0)))</f>
        <v>633</v>
      </c>
      <c r="X1452" s="227">
        <f t="shared" si="204"/>
        <v>0</v>
      </c>
      <c r="AB1452" s="228" t="str">
        <f t="shared" si="205"/>
        <v>TungstenLLC Vostok</v>
      </c>
    </row>
    <row r="1453" spans="1:28" s="227" customFormat="1" ht="67.5">
      <c r="A1453" s="301" t="s">
        <v>141</v>
      </c>
      <c r="B1453" s="293" t="s">
        <v>1122</v>
      </c>
      <c r="C1453" s="294" t="s">
        <v>151</v>
      </c>
      <c r="D1453" s="295" t="s">
        <v>151</v>
      </c>
      <c r="E1453" s="293" t="s">
        <v>1090</v>
      </c>
      <c r="F1453" s="293" t="s">
        <v>141</v>
      </c>
      <c r="G1453" s="293" t="s">
        <v>13217</v>
      </c>
      <c r="H1453" s="296" t="s">
        <v>15855</v>
      </c>
      <c r="I1453" s="297" t="s">
        <v>17067</v>
      </c>
      <c r="J1453" s="297" t="s">
        <v>13605</v>
      </c>
      <c r="K1453" s="298" t="s">
        <v>15855</v>
      </c>
      <c r="L1453" s="298" t="s">
        <v>15855</v>
      </c>
      <c r="M1453" s="298" t="s">
        <v>15855</v>
      </c>
      <c r="N1453" s="298" t="s">
        <v>15855</v>
      </c>
      <c r="O1453" s="298" t="s">
        <v>15855</v>
      </c>
      <c r="P1453" s="299" t="s">
        <v>15857</v>
      </c>
      <c r="Q1453" s="300" t="s">
        <v>15855</v>
      </c>
      <c r="R1453" s="182" t="str">
        <f ca="1">IF(ISERROR($V1453),"",OFFSET('Smelter Look-up'!$C$4,$V1453-4,0)&amp;"")</f>
        <v>Malipo Haiyu Tungsten Co., Ltd.</v>
      </c>
      <c r="S1453" s="181" t="str">
        <f t="shared" ca="1" si="203"/>
        <v>CN</v>
      </c>
      <c r="T1453" s="181" t="str">
        <f ca="1">IF(B1453="","",IF(ISERROR(MATCH($J1453,SorP!$B$1:$B$6226,0)),"",INDIRECT("'SorP'!$A$"&amp;MATCH($S1453&amp;$J1453,SorP!C:C,0))))</f>
        <v>CN-YN</v>
      </c>
      <c r="U1453" s="201"/>
      <c r="V1453" s="226">
        <f>IF(C1453="",NA(),IF(OR(C1453="Smelter not listed",C1453="Smelter not yet identified"),MATCH($B1453&amp;$D1453,'Smelter Look-up'!$J:$J,0),MATCH($B1453&amp;$C1453,'Smelter Look-up'!$J:$J,0)))</f>
        <v>635</v>
      </c>
      <c r="X1453" s="227">
        <f t="shared" si="204"/>
        <v>0</v>
      </c>
      <c r="AB1453" s="228" t="str">
        <f t="shared" si="205"/>
        <v>TungstenMalipo Haiyu Tungsten Co., Ltd.</v>
      </c>
    </row>
    <row r="1454" spans="1:28" s="227" customFormat="1" ht="67.5">
      <c r="A1454" s="301" t="s">
        <v>141</v>
      </c>
      <c r="B1454" s="293" t="s">
        <v>1122</v>
      </c>
      <c r="C1454" s="294" t="s">
        <v>151</v>
      </c>
      <c r="D1454" s="295" t="s">
        <v>151</v>
      </c>
      <c r="E1454" s="293" t="s">
        <v>1090</v>
      </c>
      <c r="F1454" s="293" t="s">
        <v>141</v>
      </c>
      <c r="G1454" s="293" t="s">
        <v>13217</v>
      </c>
      <c r="H1454" s="296" t="s">
        <v>15855</v>
      </c>
      <c r="I1454" s="297" t="s">
        <v>17067</v>
      </c>
      <c r="J1454" s="297" t="s">
        <v>13605</v>
      </c>
      <c r="K1454" s="298" t="s">
        <v>17068</v>
      </c>
      <c r="L1454" s="298" t="s">
        <v>17069</v>
      </c>
      <c r="M1454" s="298" t="s">
        <v>17070</v>
      </c>
      <c r="N1454" s="298" t="s">
        <v>15862</v>
      </c>
      <c r="O1454" s="298" t="s">
        <v>17022</v>
      </c>
      <c r="P1454" s="299" t="s">
        <v>15857</v>
      </c>
      <c r="Q1454" s="300" t="s">
        <v>15855</v>
      </c>
      <c r="R1454" s="182" t="str">
        <f ca="1">IF(ISERROR($V1454),"",OFFSET('Smelter Look-up'!$C$4,$V1454-4,0)&amp;"")</f>
        <v>Malipo Haiyu Tungsten Co., Ltd.</v>
      </c>
      <c r="S1454" s="181" t="str">
        <f t="shared" ca="1" si="203"/>
        <v>CN</v>
      </c>
      <c r="T1454" s="181" t="str">
        <f ca="1">IF(B1454="","",IF(ISERROR(MATCH($J1454,SorP!$B$1:$B$6226,0)),"",INDIRECT("'SorP'!$A$"&amp;MATCH($S1454&amp;$J1454,SorP!C:C,0))))</f>
        <v>CN-YN</v>
      </c>
      <c r="U1454" s="201"/>
      <c r="V1454" s="226">
        <f>IF(C1454="",NA(),IF(OR(C1454="Smelter not listed",C1454="Smelter not yet identified"),MATCH($B1454&amp;$D1454,'Smelter Look-up'!$J:$J,0),MATCH($B1454&amp;$C1454,'Smelter Look-up'!$J:$J,0)))</f>
        <v>635</v>
      </c>
      <c r="X1454" s="227">
        <f t="shared" si="204"/>
        <v>0</v>
      </c>
      <c r="AB1454" s="228" t="str">
        <f t="shared" si="205"/>
        <v>TungstenMalipo Haiyu Tungsten Co., Ltd.</v>
      </c>
    </row>
    <row r="1455" spans="1:28" s="227" customFormat="1" ht="67.5">
      <c r="A1455" s="301" t="s">
        <v>141</v>
      </c>
      <c r="B1455" s="293" t="s">
        <v>1122</v>
      </c>
      <c r="C1455" s="294" t="s">
        <v>151</v>
      </c>
      <c r="D1455" s="295" t="s">
        <v>151</v>
      </c>
      <c r="E1455" s="293" t="s">
        <v>1090</v>
      </c>
      <c r="F1455" s="293" t="s">
        <v>141</v>
      </c>
      <c r="G1455" s="293" t="s">
        <v>13217</v>
      </c>
      <c r="H1455" s="296" t="s">
        <v>15855</v>
      </c>
      <c r="I1455" s="297" t="s">
        <v>15849</v>
      </c>
      <c r="J1455" s="297" t="s">
        <v>13605</v>
      </c>
      <c r="K1455" s="298" t="s">
        <v>15855</v>
      </c>
      <c r="L1455" s="298" t="s">
        <v>15855</v>
      </c>
      <c r="M1455" s="298" t="s">
        <v>15855</v>
      </c>
      <c r="N1455" s="298" t="s">
        <v>15855</v>
      </c>
      <c r="O1455" s="298" t="s">
        <v>15858</v>
      </c>
      <c r="P1455" s="299" t="s">
        <v>15857</v>
      </c>
      <c r="Q1455" s="300" t="s">
        <v>15855</v>
      </c>
      <c r="R1455" s="182" t="str">
        <f ca="1">IF(ISERROR($V1455),"",OFFSET('Smelter Look-up'!$C$4,$V1455-4,0)&amp;"")</f>
        <v>Malipo Haiyu Tungsten Co., Ltd.</v>
      </c>
      <c r="S1455" s="181" t="str">
        <f t="shared" ca="1" si="203"/>
        <v>CN</v>
      </c>
      <c r="T1455" s="181" t="str">
        <f ca="1">IF(B1455="","",IF(ISERROR(MATCH($J1455,SorP!$B$1:$B$6226,0)),"",INDIRECT("'SorP'!$A$"&amp;MATCH($S1455&amp;$J1455,SorP!C:C,0))))</f>
        <v>CN-YN</v>
      </c>
      <c r="U1455" s="201"/>
      <c r="V1455" s="226">
        <f>IF(C1455="",NA(),IF(OR(C1455="Smelter not listed",C1455="Smelter not yet identified"),MATCH($B1455&amp;$D1455,'Smelter Look-up'!$J:$J,0),MATCH($B1455&amp;$C1455,'Smelter Look-up'!$J:$J,0)))</f>
        <v>635</v>
      </c>
      <c r="X1455" s="227">
        <f t="shared" si="204"/>
        <v>0</v>
      </c>
      <c r="AB1455" s="228" t="str">
        <f t="shared" si="205"/>
        <v>TungstenMalipo Haiyu Tungsten Co., Ltd.</v>
      </c>
    </row>
    <row r="1456" spans="1:28" s="227" customFormat="1" ht="67.5">
      <c r="A1456" s="301" t="s">
        <v>141</v>
      </c>
      <c r="B1456" s="293" t="s">
        <v>1122</v>
      </c>
      <c r="C1456" s="294" t="s">
        <v>151</v>
      </c>
      <c r="D1456" s="295" t="s">
        <v>151</v>
      </c>
      <c r="E1456" s="293" t="s">
        <v>1090</v>
      </c>
      <c r="F1456" s="293" t="s">
        <v>141</v>
      </c>
      <c r="G1456" s="293" t="s">
        <v>13217</v>
      </c>
      <c r="H1456" s="302" t="s">
        <v>15880</v>
      </c>
      <c r="I1456" s="297" t="s">
        <v>17067</v>
      </c>
      <c r="J1456" s="297" t="s">
        <v>13605</v>
      </c>
      <c r="K1456" s="298" t="s">
        <v>15855</v>
      </c>
      <c r="L1456" s="298" t="s">
        <v>15855</v>
      </c>
      <c r="M1456" s="298" t="s">
        <v>15855</v>
      </c>
      <c r="N1456" s="298" t="s">
        <v>15855</v>
      </c>
      <c r="O1456" s="298" t="s">
        <v>15855</v>
      </c>
      <c r="P1456" s="299" t="s">
        <v>15857</v>
      </c>
      <c r="Q1456" s="300" t="s">
        <v>15855</v>
      </c>
      <c r="R1456" s="182" t="str">
        <f ca="1">IF(ISERROR($V1456),"",OFFSET('Smelter Look-up'!$C$4,$V1456-4,0)&amp;"")</f>
        <v>Malipo Haiyu Tungsten Co., Ltd.</v>
      </c>
      <c r="S1456" s="181" t="str">
        <f t="shared" ca="1" si="203"/>
        <v>CN</v>
      </c>
      <c r="T1456" s="181" t="str">
        <f ca="1">IF(B1456="","",IF(ISERROR(MATCH($J1456,SorP!$B$1:$B$6226,0)),"",INDIRECT("'SorP'!$A$"&amp;MATCH($S1456&amp;$J1456,SorP!C:C,0))))</f>
        <v>CN-YN</v>
      </c>
      <c r="U1456" s="201"/>
      <c r="V1456" s="226">
        <f>IF(C1456="",NA(),IF(OR(C1456="Smelter not listed",C1456="Smelter not yet identified"),MATCH($B1456&amp;$D1456,'Smelter Look-up'!$J:$J,0),MATCH($B1456&amp;$C1456,'Smelter Look-up'!$J:$J,0)))</f>
        <v>635</v>
      </c>
      <c r="X1456" s="227">
        <f t="shared" si="204"/>
        <v>0</v>
      </c>
      <c r="AB1456" s="228" t="str">
        <f t="shared" si="205"/>
        <v>TungstenMalipo Haiyu Tungsten Co., Ltd.</v>
      </c>
    </row>
    <row r="1457" spans="1:28" s="227" customFormat="1" ht="67.5">
      <c r="A1457" s="301" t="s">
        <v>1418</v>
      </c>
      <c r="B1457" s="293" t="s">
        <v>1122</v>
      </c>
      <c r="C1457" s="294" t="s">
        <v>15094</v>
      </c>
      <c r="D1457" s="295" t="s">
        <v>15094</v>
      </c>
      <c r="E1457" s="293" t="s">
        <v>882</v>
      </c>
      <c r="F1457" s="293" t="s">
        <v>1418</v>
      </c>
      <c r="G1457" s="293" t="s">
        <v>13217</v>
      </c>
      <c r="H1457" s="296" t="s">
        <v>15855</v>
      </c>
      <c r="I1457" s="297" t="s">
        <v>1823</v>
      </c>
      <c r="J1457" s="297" t="s">
        <v>12112</v>
      </c>
      <c r="K1457" s="298" t="s">
        <v>15855</v>
      </c>
      <c r="L1457" s="298" t="s">
        <v>15855</v>
      </c>
      <c r="M1457" s="298" t="s">
        <v>15855</v>
      </c>
      <c r="N1457" s="298" t="s">
        <v>15855</v>
      </c>
      <c r="O1457" s="298" t="s">
        <v>15855</v>
      </c>
      <c r="P1457" s="299" t="s">
        <v>15857</v>
      </c>
      <c r="Q1457" s="300" t="s">
        <v>15855</v>
      </c>
      <c r="R1457" s="182" t="str">
        <f ca="1">IF(ISERROR($V1457),"",OFFSET('Smelter Look-up'!$C$4,$V1457-4,0)&amp;"")</f>
        <v>Masan High-Tech Materials</v>
      </c>
      <c r="S1457" s="181" t="str">
        <f t="shared" ca="1" si="203"/>
        <v>VN</v>
      </c>
      <c r="T1457" s="181" t="str">
        <f ca="1">IF(B1457="","",IF(ISERROR(MATCH($J1457,SorP!$B$1:$B$6226,0)),"",INDIRECT("'SorP'!$A$"&amp;MATCH($S1457&amp;$J1457,SorP!C:C,0))))</f>
        <v>VN-69</v>
      </c>
      <c r="U1457" s="201"/>
      <c r="V1457" s="226">
        <f>IF(C1457="",NA(),IF(OR(C1457="Smelter not listed",C1457="Smelter not yet identified"),MATCH($B1457&amp;$D1457,'Smelter Look-up'!$J:$J,0),MATCH($B1457&amp;$C1457,'Smelter Look-up'!$J:$J,0)))</f>
        <v>636</v>
      </c>
      <c r="X1457" s="227">
        <f t="shared" si="204"/>
        <v>0</v>
      </c>
      <c r="AB1457" s="228" t="str">
        <f t="shared" si="205"/>
        <v>TungstenMasan High-Tech Materials</v>
      </c>
    </row>
    <row r="1458" spans="1:28" s="227" customFormat="1" ht="67.5">
      <c r="A1458" s="301" t="s">
        <v>1418</v>
      </c>
      <c r="B1458" s="293" t="s">
        <v>1122</v>
      </c>
      <c r="C1458" s="294" t="s">
        <v>15094</v>
      </c>
      <c r="D1458" s="295" t="s">
        <v>15094</v>
      </c>
      <c r="E1458" s="293" t="s">
        <v>882</v>
      </c>
      <c r="F1458" s="293" t="s">
        <v>1418</v>
      </c>
      <c r="G1458" s="293" t="s">
        <v>13217</v>
      </c>
      <c r="H1458" s="296" t="s">
        <v>15855</v>
      </c>
      <c r="I1458" s="297" t="s">
        <v>1823</v>
      </c>
      <c r="J1458" s="297" t="s">
        <v>12112</v>
      </c>
      <c r="K1458" s="298" t="s">
        <v>17071</v>
      </c>
      <c r="L1458" s="298" t="s">
        <v>17072</v>
      </c>
      <c r="M1458" s="298" t="s">
        <v>15869</v>
      </c>
      <c r="N1458" s="298" t="s">
        <v>15870</v>
      </c>
      <c r="O1458" s="298" t="s">
        <v>17073</v>
      </c>
      <c r="P1458" s="299" t="s">
        <v>15857</v>
      </c>
      <c r="Q1458" s="300" t="s">
        <v>15855</v>
      </c>
      <c r="R1458" s="182" t="str">
        <f ca="1">IF(ISERROR($V1458),"",OFFSET('Smelter Look-up'!$C$4,$V1458-4,0)&amp;"")</f>
        <v>Masan High-Tech Materials</v>
      </c>
      <c r="S1458" s="181" t="str">
        <f t="shared" ca="1" si="203"/>
        <v>VN</v>
      </c>
      <c r="T1458" s="181" t="str">
        <f ca="1">IF(B1458="","",IF(ISERROR(MATCH($J1458,SorP!$B$1:$B$6226,0)),"",INDIRECT("'SorP'!$A$"&amp;MATCH($S1458&amp;$J1458,SorP!C:C,0))))</f>
        <v>VN-69</v>
      </c>
      <c r="U1458" s="201"/>
      <c r="V1458" s="226">
        <f>IF(C1458="",NA(),IF(OR(C1458="Smelter not listed",C1458="Smelter not yet identified"),MATCH($B1458&amp;$D1458,'Smelter Look-up'!$J:$J,0),MATCH($B1458&amp;$C1458,'Smelter Look-up'!$J:$J,0)))</f>
        <v>636</v>
      </c>
      <c r="X1458" s="227">
        <f t="shared" si="204"/>
        <v>0</v>
      </c>
      <c r="AB1458" s="228" t="str">
        <f t="shared" si="205"/>
        <v>TungstenMasan High-Tech Materials</v>
      </c>
    </row>
    <row r="1459" spans="1:28" s="227" customFormat="1" ht="67.5">
      <c r="A1459" s="301" t="s">
        <v>1418</v>
      </c>
      <c r="B1459" s="293" t="s">
        <v>1122</v>
      </c>
      <c r="C1459" s="294" t="s">
        <v>15094</v>
      </c>
      <c r="D1459" s="295" t="s">
        <v>15094</v>
      </c>
      <c r="E1459" s="293" t="s">
        <v>882</v>
      </c>
      <c r="F1459" s="293" t="s">
        <v>1418</v>
      </c>
      <c r="G1459" s="293" t="s">
        <v>13217</v>
      </c>
      <c r="H1459" s="302" t="s">
        <v>15880</v>
      </c>
      <c r="I1459" s="297" t="s">
        <v>1823</v>
      </c>
      <c r="J1459" s="297" t="s">
        <v>12112</v>
      </c>
      <c r="K1459" s="298" t="s">
        <v>15855</v>
      </c>
      <c r="L1459" s="298" t="s">
        <v>15855</v>
      </c>
      <c r="M1459" s="298" t="s">
        <v>15855</v>
      </c>
      <c r="N1459" s="298" t="s">
        <v>15855</v>
      </c>
      <c r="O1459" s="298" t="s">
        <v>15855</v>
      </c>
      <c r="P1459" s="299" t="s">
        <v>15857</v>
      </c>
      <c r="Q1459" s="300" t="s">
        <v>15855</v>
      </c>
      <c r="R1459" s="182" t="str">
        <f ca="1">IF(ISERROR($V1459),"",OFFSET('Smelter Look-up'!$C$4,$V1459-4,0)&amp;"")</f>
        <v>Masan High-Tech Materials</v>
      </c>
      <c r="S1459" s="181" t="str">
        <f t="shared" ca="1" si="203"/>
        <v>VN</v>
      </c>
      <c r="T1459" s="181" t="str">
        <f ca="1">IF(B1459="","",IF(ISERROR(MATCH($J1459,SorP!$B$1:$B$6226,0)),"",INDIRECT("'SorP'!$A$"&amp;MATCH($S1459&amp;$J1459,SorP!C:C,0))))</f>
        <v>VN-69</v>
      </c>
      <c r="U1459" s="201"/>
      <c r="V1459" s="226">
        <f>IF(C1459="",NA(),IF(OR(C1459="Smelter not listed",C1459="Smelter not yet identified"),MATCH($B1459&amp;$D1459,'Smelter Look-up'!$J:$J,0),MATCH($B1459&amp;$C1459,'Smelter Look-up'!$J:$J,0)))</f>
        <v>636</v>
      </c>
      <c r="X1459" s="227">
        <f t="shared" si="204"/>
        <v>0</v>
      </c>
      <c r="AB1459" s="228" t="str">
        <f t="shared" si="205"/>
        <v>TungstenMasan High-Tech Materials</v>
      </c>
    </row>
    <row r="1460" spans="1:28" s="227" customFormat="1" ht="67.5">
      <c r="A1460" s="301" t="s">
        <v>1418</v>
      </c>
      <c r="B1460" s="293" t="s">
        <v>1122</v>
      </c>
      <c r="C1460" s="294" t="s">
        <v>15094</v>
      </c>
      <c r="D1460" s="295" t="s">
        <v>15094</v>
      </c>
      <c r="E1460" s="293" t="s">
        <v>882</v>
      </c>
      <c r="F1460" s="293" t="s">
        <v>1418</v>
      </c>
      <c r="G1460" s="293" t="s">
        <v>13217</v>
      </c>
      <c r="H1460" s="296" t="s">
        <v>17074</v>
      </c>
      <c r="I1460" s="297" t="s">
        <v>1823</v>
      </c>
      <c r="J1460" s="297" t="s">
        <v>12112</v>
      </c>
      <c r="K1460" s="298" t="s">
        <v>17075</v>
      </c>
      <c r="L1460" s="298" t="s">
        <v>17076</v>
      </c>
      <c r="M1460" s="298" t="s">
        <v>15855</v>
      </c>
      <c r="N1460" s="298" t="s">
        <v>17077</v>
      </c>
      <c r="O1460" s="298" t="s">
        <v>17078</v>
      </c>
      <c r="P1460" s="299" t="s">
        <v>15857</v>
      </c>
      <c r="Q1460" s="300" t="s">
        <v>15855</v>
      </c>
      <c r="R1460" s="182" t="str">
        <f ca="1">IF(ISERROR($V1460),"",OFFSET('Smelter Look-up'!$C$4,$V1460-4,0)&amp;"")</f>
        <v>Masan High-Tech Materials</v>
      </c>
      <c r="S1460" s="181" t="str">
        <f t="shared" ca="1" si="203"/>
        <v>VN</v>
      </c>
      <c r="T1460" s="181" t="str">
        <f ca="1">IF(B1460="","",IF(ISERROR(MATCH($J1460,SorP!$B$1:$B$6226,0)),"",INDIRECT("'SorP'!$A$"&amp;MATCH($S1460&amp;$J1460,SorP!C:C,0))))</f>
        <v>VN-69</v>
      </c>
      <c r="U1460" s="201"/>
      <c r="V1460" s="226">
        <f>IF(C1460="",NA(),IF(OR(C1460="Smelter not listed",C1460="Smelter not yet identified"),MATCH($B1460&amp;$D1460,'Smelter Look-up'!$J:$J,0),MATCH($B1460&amp;$C1460,'Smelter Look-up'!$J:$J,0)))</f>
        <v>636</v>
      </c>
      <c r="X1460" s="227">
        <f t="shared" si="204"/>
        <v>0</v>
      </c>
      <c r="AB1460" s="228" t="str">
        <f t="shared" si="205"/>
        <v>TungstenMasan High-Tech Materials</v>
      </c>
    </row>
    <row r="1461" spans="1:28" s="227" customFormat="1" ht="67.5">
      <c r="A1461" s="301" t="s">
        <v>1418</v>
      </c>
      <c r="B1461" s="293" t="s">
        <v>1122</v>
      </c>
      <c r="C1461" s="294" t="s">
        <v>15094</v>
      </c>
      <c r="D1461" s="295" t="s">
        <v>13796</v>
      </c>
      <c r="E1461" s="293" t="s">
        <v>882</v>
      </c>
      <c r="F1461" s="293" t="s">
        <v>1418</v>
      </c>
      <c r="G1461" s="293" t="s">
        <v>13217</v>
      </c>
      <c r="H1461" s="296" t="s">
        <v>15855</v>
      </c>
      <c r="I1461" s="297" t="s">
        <v>1823</v>
      </c>
      <c r="J1461" s="297" t="s">
        <v>12112</v>
      </c>
      <c r="K1461" s="298" t="s">
        <v>15855</v>
      </c>
      <c r="L1461" s="298" t="s">
        <v>15855</v>
      </c>
      <c r="M1461" s="298" t="s">
        <v>15855</v>
      </c>
      <c r="N1461" s="298" t="s">
        <v>15855</v>
      </c>
      <c r="O1461" s="298" t="s">
        <v>17079</v>
      </c>
      <c r="P1461" s="299" t="s">
        <v>15857</v>
      </c>
      <c r="Q1461" s="300" t="s">
        <v>15855</v>
      </c>
      <c r="R1461" s="182" t="str">
        <f ca="1">IF(ISERROR($V1461),"",OFFSET('Smelter Look-up'!$C$4,$V1461-4,0)&amp;"")</f>
        <v>Masan High-Tech Materials</v>
      </c>
      <c r="S1461" s="181" t="str">
        <f t="shared" ca="1" si="203"/>
        <v>VN</v>
      </c>
      <c r="T1461" s="181" t="str">
        <f ca="1">IF(B1461="","",IF(ISERROR(MATCH($J1461,SorP!$B$1:$B$6226,0)),"",INDIRECT("'SorP'!$A$"&amp;MATCH($S1461&amp;$J1461,SorP!C:C,0))))</f>
        <v>VN-69</v>
      </c>
      <c r="U1461" s="201"/>
      <c r="V1461" s="226">
        <f>IF(C1461="",NA(),IF(OR(C1461="Smelter not listed",C1461="Smelter not yet identified"),MATCH($B1461&amp;$D1461,'Smelter Look-up'!$J:$J,0),MATCH($B1461&amp;$C1461,'Smelter Look-up'!$J:$J,0)))</f>
        <v>636</v>
      </c>
      <c r="X1461" s="227">
        <f t="shared" si="204"/>
        <v>0</v>
      </c>
      <c r="AB1461" s="228" t="str">
        <f t="shared" si="205"/>
        <v>TungstenMasan High-Tech Materials</v>
      </c>
    </row>
    <row r="1462" spans="1:28" s="227" customFormat="1" ht="81">
      <c r="A1462" s="301" t="s">
        <v>1418</v>
      </c>
      <c r="B1462" s="293" t="s">
        <v>1122</v>
      </c>
      <c r="C1462" s="294" t="s">
        <v>13796</v>
      </c>
      <c r="D1462" s="295" t="s">
        <v>13796</v>
      </c>
      <c r="E1462" s="293" t="s">
        <v>882</v>
      </c>
      <c r="F1462" s="293" t="s">
        <v>1418</v>
      </c>
      <c r="G1462" s="293" t="s">
        <v>13217</v>
      </c>
      <c r="H1462" s="296" t="s">
        <v>15855</v>
      </c>
      <c r="I1462" s="297" t="s">
        <v>1823</v>
      </c>
      <c r="J1462" s="297" t="s">
        <v>12112</v>
      </c>
      <c r="K1462" s="298" t="s">
        <v>15855</v>
      </c>
      <c r="L1462" s="298" t="s">
        <v>15855</v>
      </c>
      <c r="M1462" s="298" t="s">
        <v>15855</v>
      </c>
      <c r="N1462" s="298" t="s">
        <v>15855</v>
      </c>
      <c r="O1462" s="298" t="s">
        <v>15855</v>
      </c>
      <c r="P1462" s="299" t="s">
        <v>15857</v>
      </c>
      <c r="Q1462" s="300" t="s">
        <v>15855</v>
      </c>
      <c r="R1462" s="182" t="str">
        <f ca="1">IF(ISERROR($V1462),"",OFFSET('Smelter Look-up'!$C$4,$V1462-4,0)&amp;"")</f>
        <v>Masan High-Tech Materials</v>
      </c>
      <c r="S1462" s="181" t="str">
        <f t="shared" ca="1" si="203"/>
        <v>VN</v>
      </c>
      <c r="T1462" s="181" t="str">
        <f ca="1">IF(B1462="","",IF(ISERROR(MATCH($J1462,SorP!$B$1:$B$6226,0)),"",INDIRECT("'SorP'!$A$"&amp;MATCH($S1462&amp;$J1462,SorP!C:C,0))))</f>
        <v>VN-69</v>
      </c>
      <c r="U1462" s="201"/>
      <c r="V1462" s="226">
        <f>IF(C1462="",NA(),IF(OR(C1462="Smelter not listed",C1462="Smelter not yet identified"),MATCH($B1462&amp;$D1462,'Smelter Look-up'!$J:$J,0),MATCH($B1462&amp;$C1462,'Smelter Look-up'!$J:$J,0)))</f>
        <v>637</v>
      </c>
      <c r="X1462" s="227">
        <f t="shared" si="204"/>
        <v>0</v>
      </c>
      <c r="AB1462" s="228" t="str">
        <f t="shared" si="205"/>
        <v>TungstenMasan Tungsten Chemical LLC (MTC)</v>
      </c>
    </row>
    <row r="1463" spans="1:28" s="227" customFormat="1" ht="81">
      <c r="A1463" s="301" t="s">
        <v>1418</v>
      </c>
      <c r="B1463" s="293" t="s">
        <v>1122</v>
      </c>
      <c r="C1463" s="294" t="s">
        <v>13796</v>
      </c>
      <c r="D1463" s="295" t="s">
        <v>13796</v>
      </c>
      <c r="E1463" s="293" t="s">
        <v>882</v>
      </c>
      <c r="F1463" s="293" t="s">
        <v>1418</v>
      </c>
      <c r="G1463" s="293" t="s">
        <v>13217</v>
      </c>
      <c r="H1463" s="296" t="s">
        <v>15855</v>
      </c>
      <c r="I1463" s="297" t="s">
        <v>1823</v>
      </c>
      <c r="J1463" s="297" t="s">
        <v>12112</v>
      </c>
      <c r="K1463" s="298" t="s">
        <v>15855</v>
      </c>
      <c r="L1463" s="298" t="s">
        <v>15855</v>
      </c>
      <c r="M1463" s="298" t="s">
        <v>15855</v>
      </c>
      <c r="N1463" s="298" t="s">
        <v>15855</v>
      </c>
      <c r="O1463" s="298" t="s">
        <v>15855</v>
      </c>
      <c r="P1463" s="299" t="s">
        <v>15857</v>
      </c>
      <c r="Q1463" s="300" t="s">
        <v>16531</v>
      </c>
      <c r="R1463" s="182" t="str">
        <f ca="1">IF(ISERROR($V1463),"",OFFSET('Smelter Look-up'!$C$4,$V1463-4,0)&amp;"")</f>
        <v>Masan High-Tech Materials</v>
      </c>
      <c r="S1463" s="181" t="str">
        <f t="shared" ca="1" si="203"/>
        <v>VN</v>
      </c>
      <c r="T1463" s="181" t="str">
        <f ca="1">IF(B1463="","",IF(ISERROR(MATCH($J1463,SorP!$B$1:$B$6226,0)),"",INDIRECT("'SorP'!$A$"&amp;MATCH($S1463&amp;$J1463,SorP!C:C,0))))</f>
        <v>VN-69</v>
      </c>
      <c r="U1463" s="201"/>
      <c r="V1463" s="226">
        <f>IF(C1463="",NA(),IF(OR(C1463="Smelter not listed",C1463="Smelter not yet identified"),MATCH($B1463&amp;$D1463,'Smelter Look-up'!$J:$J,0),MATCH($B1463&amp;$C1463,'Smelter Look-up'!$J:$J,0)))</f>
        <v>637</v>
      </c>
      <c r="X1463" s="227">
        <f t="shared" si="204"/>
        <v>0</v>
      </c>
      <c r="AB1463" s="228" t="str">
        <f t="shared" si="205"/>
        <v>TungstenMasan Tungsten Chemical LLC (MTC)</v>
      </c>
    </row>
    <row r="1464" spans="1:28" s="227" customFormat="1" ht="40.5">
      <c r="A1464" s="301" t="s">
        <v>2254</v>
      </c>
      <c r="B1464" s="293" t="s">
        <v>1122</v>
      </c>
      <c r="C1464" s="294" t="s">
        <v>2519</v>
      </c>
      <c r="D1464" s="295" t="s">
        <v>2519</v>
      </c>
      <c r="E1464" s="293" t="s">
        <v>873</v>
      </c>
      <c r="F1464" s="293" t="s">
        <v>2254</v>
      </c>
      <c r="G1464" s="293" t="s">
        <v>13217</v>
      </c>
      <c r="H1464" s="296" t="s">
        <v>15855</v>
      </c>
      <c r="I1464" s="297" t="s">
        <v>2255</v>
      </c>
      <c r="J1464" s="297" t="s">
        <v>9937</v>
      </c>
      <c r="K1464" s="298" t="s">
        <v>15855</v>
      </c>
      <c r="L1464" s="298" t="s">
        <v>15855</v>
      </c>
      <c r="M1464" s="298" t="s">
        <v>15855</v>
      </c>
      <c r="N1464" s="298" t="s">
        <v>15855</v>
      </c>
      <c r="O1464" s="298" t="s">
        <v>15855</v>
      </c>
      <c r="P1464" s="299" t="s">
        <v>15857</v>
      </c>
      <c r="Q1464" s="300" t="s">
        <v>15855</v>
      </c>
      <c r="R1464" s="182" t="str">
        <f ca="1">IF(ISERROR($V1464),"",OFFSET('Smelter Look-up'!$C$4,$V1464-4,0)&amp;"")</f>
        <v>Moliren Ltd.</v>
      </c>
      <c r="S1464" s="181" t="str">
        <f t="shared" ca="1" si="203"/>
        <v>RU</v>
      </c>
      <c r="T1464" s="181" t="str">
        <f ca="1">IF(B1464="","",IF(ISERROR(MATCH($J1464,SorP!$B$1:$B$6226,0)),"",INDIRECT("'SorP'!$A$"&amp;MATCH($S1464&amp;$J1464,SorP!C:C,0))))</f>
        <v>RU-MOS</v>
      </c>
      <c r="U1464" s="201"/>
      <c r="V1464" s="226">
        <f>IF(C1464="",NA(),IF(OR(C1464="Smelter not listed",C1464="Smelter not yet identified"),MATCH($B1464&amp;$D1464,'Smelter Look-up'!$J:$J,0),MATCH($B1464&amp;$C1464,'Smelter Look-up'!$J:$J,0)))</f>
        <v>638</v>
      </c>
      <c r="X1464" s="227">
        <f t="shared" si="204"/>
        <v>0</v>
      </c>
      <c r="AB1464" s="228" t="str">
        <f t="shared" si="205"/>
        <v>TungstenMoliren Ltd.</v>
      </c>
    </row>
    <row r="1465" spans="1:28" s="227" customFormat="1" ht="40.5">
      <c r="A1465" s="301" t="s">
        <v>2254</v>
      </c>
      <c r="B1465" s="293" t="s">
        <v>1122</v>
      </c>
      <c r="C1465" s="294" t="s">
        <v>2519</v>
      </c>
      <c r="D1465" s="295" t="s">
        <v>2519</v>
      </c>
      <c r="E1465" s="293" t="s">
        <v>873</v>
      </c>
      <c r="F1465" s="293" t="s">
        <v>2254</v>
      </c>
      <c r="G1465" s="293" t="s">
        <v>13217</v>
      </c>
      <c r="H1465" s="296" t="s">
        <v>15855</v>
      </c>
      <c r="I1465" s="297" t="s">
        <v>2255</v>
      </c>
      <c r="J1465" s="297" t="s">
        <v>9937</v>
      </c>
      <c r="K1465" s="298" t="s">
        <v>15855</v>
      </c>
      <c r="L1465" s="298" t="s">
        <v>15855</v>
      </c>
      <c r="M1465" s="298" t="s">
        <v>15855</v>
      </c>
      <c r="N1465" s="298" t="s">
        <v>15855</v>
      </c>
      <c r="O1465" s="298" t="s">
        <v>15858</v>
      </c>
      <c r="P1465" s="299" t="s">
        <v>15857</v>
      </c>
      <c r="Q1465" s="300" t="s">
        <v>15855</v>
      </c>
      <c r="R1465" s="182" t="str">
        <f ca="1">IF(ISERROR($V1465),"",OFFSET('Smelter Look-up'!$C$4,$V1465-4,0)&amp;"")</f>
        <v>Moliren Ltd.</v>
      </c>
      <c r="S1465" s="181" t="str">
        <f t="shared" ca="1" si="203"/>
        <v>RU</v>
      </c>
      <c r="T1465" s="181" t="str">
        <f ca="1">IF(B1465="","",IF(ISERROR(MATCH($J1465,SorP!$B$1:$B$6226,0)),"",INDIRECT("'SorP'!$A$"&amp;MATCH($S1465&amp;$J1465,SorP!C:C,0))))</f>
        <v>RU-MOS</v>
      </c>
      <c r="U1465" s="201"/>
      <c r="V1465" s="226">
        <f>IF(C1465="",NA(),IF(OR(C1465="Smelter not listed",C1465="Smelter not yet identified"),MATCH($B1465&amp;$D1465,'Smelter Look-up'!$J:$J,0),MATCH($B1465&amp;$C1465,'Smelter Look-up'!$J:$J,0)))</f>
        <v>638</v>
      </c>
      <c r="X1465" s="227">
        <f t="shared" si="204"/>
        <v>0</v>
      </c>
      <c r="AB1465" s="228" t="str">
        <f t="shared" si="205"/>
        <v>TungstenMoliren Ltd.</v>
      </c>
    </row>
    <row r="1466" spans="1:28" s="227" customFormat="1" ht="40.5">
      <c r="A1466" s="301" t="s">
        <v>2254</v>
      </c>
      <c r="B1466" s="293" t="s">
        <v>1122</v>
      </c>
      <c r="C1466" s="294" t="s">
        <v>2519</v>
      </c>
      <c r="D1466" s="295" t="s">
        <v>2519</v>
      </c>
      <c r="E1466" s="293" t="s">
        <v>873</v>
      </c>
      <c r="F1466" s="293" t="s">
        <v>2254</v>
      </c>
      <c r="G1466" s="293" t="s">
        <v>13217</v>
      </c>
      <c r="H1466" s="296" t="s">
        <v>15855</v>
      </c>
      <c r="I1466" s="297" t="s">
        <v>2255</v>
      </c>
      <c r="J1466" s="297" t="s">
        <v>9937</v>
      </c>
      <c r="K1466" s="298" t="s">
        <v>17080</v>
      </c>
      <c r="L1466" s="298" t="s">
        <v>17081</v>
      </c>
      <c r="M1466" s="298" t="s">
        <v>15892</v>
      </c>
      <c r="N1466" s="298" t="s">
        <v>15862</v>
      </c>
      <c r="O1466" s="298" t="s">
        <v>17022</v>
      </c>
      <c r="P1466" s="299" t="s">
        <v>15857</v>
      </c>
      <c r="Q1466" s="300" t="s">
        <v>15855</v>
      </c>
      <c r="R1466" s="182" t="str">
        <f ca="1">IF(ISERROR($V1466),"",OFFSET('Smelter Look-up'!$C$4,$V1466-4,0)&amp;"")</f>
        <v>Moliren Ltd.</v>
      </c>
      <c r="S1466" s="181" t="str">
        <f t="shared" ca="1" si="203"/>
        <v>RU</v>
      </c>
      <c r="T1466" s="181" t="str">
        <f ca="1">IF(B1466="","",IF(ISERROR(MATCH($J1466,SorP!$B$1:$B$6226,0)),"",INDIRECT("'SorP'!$A$"&amp;MATCH($S1466&amp;$J1466,SorP!C:C,0))))</f>
        <v>RU-MOS</v>
      </c>
      <c r="U1466" s="201"/>
      <c r="V1466" s="226">
        <f>IF(C1466="",NA(),IF(OR(C1466="Smelter not listed",C1466="Smelter not yet identified"),MATCH($B1466&amp;$D1466,'Smelter Look-up'!$J:$J,0),MATCH($B1466&amp;$C1466,'Smelter Look-up'!$J:$J,0)))</f>
        <v>638</v>
      </c>
      <c r="X1466" s="227">
        <f t="shared" si="204"/>
        <v>0</v>
      </c>
      <c r="AB1466" s="228" t="str">
        <f t="shared" si="205"/>
        <v>TungstenMoliren Ltd.</v>
      </c>
    </row>
    <row r="1467" spans="1:28" s="227" customFormat="1" ht="54">
      <c r="A1467" s="301" t="s">
        <v>1825</v>
      </c>
      <c r="B1467" s="293" t="s">
        <v>1122</v>
      </c>
      <c r="C1467" s="294" t="s">
        <v>1824</v>
      </c>
      <c r="D1467" s="295" t="s">
        <v>1824</v>
      </c>
      <c r="E1467" s="293" t="s">
        <v>2415</v>
      </c>
      <c r="F1467" s="293" t="s">
        <v>1825</v>
      </c>
      <c r="G1467" s="293" t="s">
        <v>13217</v>
      </c>
      <c r="H1467" s="296" t="s">
        <v>15855</v>
      </c>
      <c r="I1467" s="297" t="s">
        <v>1826</v>
      </c>
      <c r="J1467" s="297" t="s">
        <v>1609</v>
      </c>
      <c r="K1467" s="298" t="s">
        <v>15855</v>
      </c>
      <c r="L1467" s="298" t="s">
        <v>15855</v>
      </c>
      <c r="M1467" s="298" t="s">
        <v>15855</v>
      </c>
      <c r="N1467" s="298" t="s">
        <v>15855</v>
      </c>
      <c r="O1467" s="298" t="s">
        <v>15855</v>
      </c>
      <c r="P1467" s="299" t="s">
        <v>15857</v>
      </c>
      <c r="Q1467" s="300" t="s">
        <v>15855</v>
      </c>
      <c r="R1467" s="182" t="str">
        <f ca="1">IF(ISERROR($V1467),"",OFFSET('Smelter Look-up'!$C$4,$V1467-4,0)&amp;"")</f>
        <v>Niagara Refining LLC</v>
      </c>
      <c r="S1467" s="181" t="str">
        <f t="shared" ref="S1467" ca="1" si="206">IF(B1467="","",IF(ISERROR(MATCH($E1467,CL,0)),"Unknown",INDIRECT("'C'!$A$"&amp;MATCH($E1467,CL,0)+1)))</f>
        <v>US</v>
      </c>
      <c r="T1467" s="181" t="str">
        <f ca="1">IF(B1467="","",IF(ISERROR(MATCH($J1467,SorP!$B$1:$B$6226,0)),"",INDIRECT("'SorP'!$A$"&amp;MATCH($S1467&amp;$J1467,SorP!C:C,0))))</f>
        <v>US-NY</v>
      </c>
      <c r="U1467" s="201"/>
      <c r="V1467" s="226">
        <f>IF(C1467="",NA(),IF(OR(C1467="Smelter not listed",C1467="Smelter not yet identified"),MATCH($B1467&amp;$D1467,'Smelter Look-up'!$J:$J,0),MATCH($B1467&amp;$C1467,'Smelter Look-up'!$J:$J,0)))</f>
        <v>641</v>
      </c>
      <c r="X1467" s="227">
        <f t="shared" ref="X1467" si="207">IF(AND(C1467="Smelter not listed",OR(LEN(D1467)=0,LEN(E1467)=0)),1,0)</f>
        <v>0</v>
      </c>
      <c r="AB1467" s="228" t="str">
        <f t="shared" ref="AB1467" si="208">B1467&amp;C1467</f>
        <v>TungstenNiagara Refining LLC</v>
      </c>
    </row>
    <row r="1468" spans="1:28" s="227" customFormat="1" ht="54">
      <c r="A1468" s="301" t="s">
        <v>1825</v>
      </c>
      <c r="B1468" s="293" t="s">
        <v>1122</v>
      </c>
      <c r="C1468" s="294" t="s">
        <v>1824</v>
      </c>
      <c r="D1468" s="295" t="s">
        <v>1824</v>
      </c>
      <c r="E1468" s="293" t="s">
        <v>2415</v>
      </c>
      <c r="F1468" s="293" t="s">
        <v>1825</v>
      </c>
      <c r="G1468" s="293" t="s">
        <v>13217</v>
      </c>
      <c r="H1468" s="296" t="s">
        <v>15855</v>
      </c>
      <c r="I1468" s="297" t="s">
        <v>1826</v>
      </c>
      <c r="J1468" s="297" t="s">
        <v>1609</v>
      </c>
      <c r="K1468" s="298" t="s">
        <v>15855</v>
      </c>
      <c r="L1468" s="298" t="s">
        <v>15855</v>
      </c>
      <c r="M1468" s="298" t="s">
        <v>15855</v>
      </c>
      <c r="N1468" s="298" t="s">
        <v>15855</v>
      </c>
      <c r="O1468" s="298" t="s">
        <v>17082</v>
      </c>
      <c r="P1468" s="299" t="s">
        <v>15857</v>
      </c>
      <c r="Q1468" s="300" t="s">
        <v>15855</v>
      </c>
      <c r="R1468" s="182" t="str">
        <f ca="1">IF(ISERROR($V1468),"",OFFSET('Smelter Look-up'!$C$4,$V1468-4,0)&amp;"")</f>
        <v>Niagara Refining LLC</v>
      </c>
      <c r="S1468" s="181" t="str">
        <f t="shared" ref="S1468:S1499" ca="1" si="209">IF(B1468="","",IF(ISERROR(MATCH($E1468,CL,0)),"Unknown",INDIRECT("'C'!$A$"&amp;MATCH($E1468,CL,0)+1)))</f>
        <v>US</v>
      </c>
      <c r="T1468" s="181" t="str">
        <f ca="1">IF(B1468="","",IF(ISERROR(MATCH($J1468,SorP!$B$1:$B$6226,0)),"",INDIRECT("'SorP'!$A$"&amp;MATCH($S1468&amp;$J1468,SorP!C:C,0))))</f>
        <v>US-NY</v>
      </c>
      <c r="U1468" s="201"/>
      <c r="V1468" s="226">
        <f>IF(C1468="",NA(),IF(OR(C1468="Smelter not listed",C1468="Smelter not yet identified"),MATCH($B1468&amp;$D1468,'Smelter Look-up'!$J:$J,0),MATCH($B1468&amp;$C1468,'Smelter Look-up'!$J:$J,0)))</f>
        <v>641</v>
      </c>
      <c r="X1468" s="227">
        <f t="shared" ref="X1468:X1499" si="210">IF(AND(C1468="Smelter not listed",OR(LEN(D1468)=0,LEN(E1468)=0)),1,0)</f>
        <v>0</v>
      </c>
      <c r="AB1468" s="228" t="str">
        <f t="shared" ref="AB1468:AB1499" si="211">B1468&amp;C1468</f>
        <v>TungstenNiagara Refining LLC</v>
      </c>
    </row>
    <row r="1469" spans="1:28" s="227" customFormat="1" ht="54">
      <c r="A1469" s="301" t="s">
        <v>1825</v>
      </c>
      <c r="B1469" s="293" t="s">
        <v>1122</v>
      </c>
      <c r="C1469" s="294" t="s">
        <v>1824</v>
      </c>
      <c r="D1469" s="295" t="s">
        <v>1824</v>
      </c>
      <c r="E1469" s="293" t="s">
        <v>2415</v>
      </c>
      <c r="F1469" s="293" t="s">
        <v>1825</v>
      </c>
      <c r="G1469" s="293" t="s">
        <v>13217</v>
      </c>
      <c r="H1469" s="296" t="s">
        <v>15855</v>
      </c>
      <c r="I1469" s="297" t="s">
        <v>1826</v>
      </c>
      <c r="J1469" s="297" t="s">
        <v>1609</v>
      </c>
      <c r="K1469" s="298" t="s">
        <v>17083</v>
      </c>
      <c r="L1469" s="298" t="s">
        <v>17084</v>
      </c>
      <c r="M1469" s="298" t="s">
        <v>17085</v>
      </c>
      <c r="N1469" s="298" t="s">
        <v>15870</v>
      </c>
      <c r="O1469" s="298" t="s">
        <v>17086</v>
      </c>
      <c r="P1469" s="299" t="s">
        <v>15857</v>
      </c>
      <c r="Q1469" s="300" t="s">
        <v>15855</v>
      </c>
      <c r="R1469" s="182" t="str">
        <f ca="1">IF(ISERROR($V1469),"",OFFSET('Smelter Look-up'!$C$4,$V1469-4,0)&amp;"")</f>
        <v>Niagara Refining LLC</v>
      </c>
      <c r="S1469" s="181" t="str">
        <f t="shared" ca="1" si="209"/>
        <v>US</v>
      </c>
      <c r="T1469" s="181" t="str">
        <f ca="1">IF(B1469="","",IF(ISERROR(MATCH($J1469,SorP!$B$1:$B$6226,0)),"",INDIRECT("'SorP'!$A$"&amp;MATCH($S1469&amp;$J1469,SorP!C:C,0))))</f>
        <v>US-NY</v>
      </c>
      <c r="U1469" s="201"/>
      <c r="V1469" s="226">
        <f>IF(C1469="",NA(),IF(OR(C1469="Smelter not listed",C1469="Smelter not yet identified"),MATCH($B1469&amp;$D1469,'Smelter Look-up'!$J:$J,0),MATCH($B1469&amp;$C1469,'Smelter Look-up'!$J:$J,0)))</f>
        <v>641</v>
      </c>
      <c r="X1469" s="227">
        <f t="shared" si="210"/>
        <v>0</v>
      </c>
      <c r="AB1469" s="228" t="str">
        <f t="shared" si="211"/>
        <v>TungstenNiagara Refining LLC</v>
      </c>
    </row>
    <row r="1470" spans="1:28" s="227" customFormat="1" ht="54">
      <c r="A1470" s="301" t="s">
        <v>1825</v>
      </c>
      <c r="B1470" s="293" t="s">
        <v>1122</v>
      </c>
      <c r="C1470" s="294" t="s">
        <v>1824</v>
      </c>
      <c r="D1470" s="295" t="s">
        <v>1824</v>
      </c>
      <c r="E1470" s="293" t="s">
        <v>2415</v>
      </c>
      <c r="F1470" s="293" t="s">
        <v>1825</v>
      </c>
      <c r="G1470" s="293" t="s">
        <v>13217</v>
      </c>
      <c r="H1470" s="302" t="s">
        <v>15880</v>
      </c>
      <c r="I1470" s="297" t="s">
        <v>1826</v>
      </c>
      <c r="J1470" s="297" t="s">
        <v>1609</v>
      </c>
      <c r="K1470" s="298" t="s">
        <v>15855</v>
      </c>
      <c r="L1470" s="298" t="s">
        <v>15855</v>
      </c>
      <c r="M1470" s="298" t="s">
        <v>15855</v>
      </c>
      <c r="N1470" s="298" t="s">
        <v>15855</v>
      </c>
      <c r="O1470" s="298" t="s">
        <v>15855</v>
      </c>
      <c r="P1470" s="299" t="s">
        <v>15857</v>
      </c>
      <c r="Q1470" s="300" t="s">
        <v>15855</v>
      </c>
      <c r="R1470" s="182" t="str">
        <f ca="1">IF(ISERROR($V1470),"",OFFSET('Smelter Look-up'!$C$4,$V1470-4,0)&amp;"")</f>
        <v>Niagara Refining LLC</v>
      </c>
      <c r="S1470" s="181" t="str">
        <f t="shared" ca="1" si="209"/>
        <v>US</v>
      </c>
      <c r="T1470" s="181" t="str">
        <f ca="1">IF(B1470="","",IF(ISERROR(MATCH($J1470,SorP!$B$1:$B$6226,0)),"",INDIRECT("'SorP'!$A$"&amp;MATCH($S1470&amp;$J1470,SorP!C:C,0))))</f>
        <v>US-NY</v>
      </c>
      <c r="U1470" s="201"/>
      <c r="V1470" s="226">
        <f>IF(C1470="",NA(),IF(OR(C1470="Smelter not listed",C1470="Smelter not yet identified"),MATCH($B1470&amp;$D1470,'Smelter Look-up'!$J:$J,0),MATCH($B1470&amp;$C1470,'Smelter Look-up'!$J:$J,0)))</f>
        <v>641</v>
      </c>
      <c r="X1470" s="227">
        <f t="shared" si="210"/>
        <v>0</v>
      </c>
      <c r="AB1470" s="228" t="str">
        <f t="shared" si="211"/>
        <v>TungstenNiagara Refining LLC</v>
      </c>
    </row>
    <row r="1471" spans="1:28" s="227" customFormat="1" ht="54">
      <c r="A1471" s="301" t="s">
        <v>1825</v>
      </c>
      <c r="B1471" s="293" t="s">
        <v>1122</v>
      </c>
      <c r="C1471" s="294" t="s">
        <v>1824</v>
      </c>
      <c r="D1471" s="295" t="s">
        <v>1824</v>
      </c>
      <c r="E1471" s="293" t="s">
        <v>2415</v>
      </c>
      <c r="F1471" s="293" t="s">
        <v>1825</v>
      </c>
      <c r="G1471" s="293" t="s">
        <v>13217</v>
      </c>
      <c r="H1471" s="302" t="s">
        <v>15880</v>
      </c>
      <c r="I1471" s="297" t="s">
        <v>1826</v>
      </c>
      <c r="J1471" s="297" t="s">
        <v>1609</v>
      </c>
      <c r="K1471" s="298" t="s">
        <v>17087</v>
      </c>
      <c r="L1471" s="298" t="s">
        <v>17087</v>
      </c>
      <c r="M1471" s="298" t="s">
        <v>17088</v>
      </c>
      <c r="N1471" s="298" t="s">
        <v>17089</v>
      </c>
      <c r="O1471" s="298" t="s">
        <v>17089</v>
      </c>
      <c r="P1471" s="299" t="s">
        <v>15857</v>
      </c>
      <c r="Q1471" s="300" t="s">
        <v>15855</v>
      </c>
      <c r="R1471" s="182" t="str">
        <f ca="1">IF(ISERROR($V1471),"",OFFSET('Smelter Look-up'!$C$4,$V1471-4,0)&amp;"")</f>
        <v>Niagara Refining LLC</v>
      </c>
      <c r="S1471" s="181" t="str">
        <f t="shared" ca="1" si="209"/>
        <v>US</v>
      </c>
      <c r="T1471" s="181" t="str">
        <f ca="1">IF(B1471="","",IF(ISERROR(MATCH($J1471,SorP!$B$1:$B$6226,0)),"",INDIRECT("'SorP'!$A$"&amp;MATCH($S1471&amp;$J1471,SorP!C:C,0))))</f>
        <v>US-NY</v>
      </c>
      <c r="U1471" s="201"/>
      <c r="V1471" s="226">
        <f>IF(C1471="",NA(),IF(OR(C1471="Smelter not listed",C1471="Smelter not yet identified"),MATCH($B1471&amp;$D1471,'Smelter Look-up'!$J:$J,0),MATCH($B1471&amp;$C1471,'Smelter Look-up'!$J:$J,0)))</f>
        <v>641</v>
      </c>
      <c r="X1471" s="227">
        <f t="shared" si="210"/>
        <v>0</v>
      </c>
      <c r="AB1471" s="228" t="str">
        <f t="shared" si="211"/>
        <v>TungstenNiagara Refining LLC</v>
      </c>
    </row>
    <row r="1472" spans="1:28" s="227" customFormat="1" ht="67.5">
      <c r="A1472" s="301" t="s">
        <v>13846</v>
      </c>
      <c r="B1472" s="293" t="s">
        <v>1122</v>
      </c>
      <c r="C1472" s="294" t="s">
        <v>13832</v>
      </c>
      <c r="D1472" s="295" t="s">
        <v>13832</v>
      </c>
      <c r="E1472" s="293" t="s">
        <v>873</v>
      </c>
      <c r="F1472" s="293" t="s">
        <v>13846</v>
      </c>
      <c r="G1472" s="293" t="s">
        <v>13217</v>
      </c>
      <c r="H1472" s="296" t="s">
        <v>15855</v>
      </c>
      <c r="I1472" s="297" t="s">
        <v>13854</v>
      </c>
      <c r="J1472" s="297" t="s">
        <v>13855</v>
      </c>
      <c r="K1472" s="298" t="s">
        <v>15855</v>
      </c>
      <c r="L1472" s="298" t="s">
        <v>15855</v>
      </c>
      <c r="M1472" s="298" t="s">
        <v>15855</v>
      </c>
      <c r="N1472" s="298" t="s">
        <v>15855</v>
      </c>
      <c r="O1472" s="298" t="s">
        <v>15858</v>
      </c>
      <c r="P1472" s="299" t="s">
        <v>15857</v>
      </c>
      <c r="Q1472" s="300" t="s">
        <v>15855</v>
      </c>
      <c r="R1472" s="182" t="str">
        <f ca="1">IF(ISERROR($V1472),"",OFFSET('Smelter Look-up'!$C$4,$V1472-4,0)&amp;"")</f>
        <v>NPP Tyazhmetprom LLC</v>
      </c>
      <c r="S1472" s="181" t="str">
        <f t="shared" ca="1" si="209"/>
        <v>RU</v>
      </c>
      <c r="T1472" s="181" t="str">
        <f ca="1">IF(B1472="","",IF(ISERROR(MATCH($J1472,SorP!$B$1:$B$6226,0)),"",INDIRECT("'SorP'!$A$"&amp;MATCH($S1472&amp;$J1472,SorP!C:C,0))))</f>
        <v>RU-CHE</v>
      </c>
      <c r="U1472" s="201"/>
      <c r="V1472" s="226">
        <f>IF(C1472="",NA(),IF(OR(C1472="Smelter not listed",C1472="Smelter not yet identified"),MATCH($B1472&amp;$D1472,'Smelter Look-up'!$J:$J,0),MATCH($B1472&amp;$C1472,'Smelter Look-up'!$J:$J,0)))</f>
        <v>642</v>
      </c>
      <c r="X1472" s="227">
        <f t="shared" si="210"/>
        <v>0</v>
      </c>
      <c r="AB1472" s="228" t="str">
        <f t="shared" si="211"/>
        <v>TungstenNPP Tyazhmetprom LLC</v>
      </c>
    </row>
    <row r="1473" spans="1:28" s="227" customFormat="1" ht="54">
      <c r="A1473" s="301" t="s">
        <v>15096</v>
      </c>
      <c r="B1473" s="293" t="s">
        <v>1122</v>
      </c>
      <c r="C1473" s="294" t="s">
        <v>15095</v>
      </c>
      <c r="D1473" s="295" t="s">
        <v>15095</v>
      </c>
      <c r="E1473" s="293" t="s">
        <v>873</v>
      </c>
      <c r="F1473" s="293" t="s">
        <v>15096</v>
      </c>
      <c r="G1473" s="293" t="s">
        <v>13217</v>
      </c>
      <c r="H1473" s="296" t="s">
        <v>15855</v>
      </c>
      <c r="I1473" s="297" t="s">
        <v>15118</v>
      </c>
      <c r="J1473" s="297" t="s">
        <v>9937</v>
      </c>
      <c r="K1473" s="298" t="s">
        <v>15855</v>
      </c>
      <c r="L1473" s="298" t="s">
        <v>15855</v>
      </c>
      <c r="M1473" s="298" t="s">
        <v>15855</v>
      </c>
      <c r="N1473" s="298" t="s">
        <v>15855</v>
      </c>
      <c r="O1473" s="298" t="s">
        <v>15858</v>
      </c>
      <c r="P1473" s="299" t="s">
        <v>15857</v>
      </c>
      <c r="Q1473" s="300" t="s">
        <v>15855</v>
      </c>
      <c r="R1473" s="182" t="str">
        <f ca="1">IF(ISERROR($V1473),"",OFFSET('Smelter Look-up'!$C$4,$V1473-4,0)&amp;"")</f>
        <v>OOO “Technolom” 1</v>
      </c>
      <c r="S1473" s="181" t="str">
        <f t="shared" ca="1" si="209"/>
        <v>RU</v>
      </c>
      <c r="T1473" s="181" t="str">
        <f ca="1">IF(B1473="","",IF(ISERROR(MATCH($J1473,SorP!$B$1:$B$6226,0)),"",INDIRECT("'SorP'!$A$"&amp;MATCH($S1473&amp;$J1473,SorP!C:C,0))))</f>
        <v>RU-MOS</v>
      </c>
      <c r="U1473" s="201"/>
      <c r="V1473" s="226">
        <f>IF(C1473="",NA(),IF(OR(C1473="Smelter not listed",C1473="Smelter not yet identified"),MATCH($B1473&amp;$D1473,'Smelter Look-up'!$J:$J,0),MATCH($B1473&amp;$C1473,'Smelter Look-up'!$J:$J,0)))</f>
        <v>644</v>
      </c>
      <c r="X1473" s="227">
        <f t="shared" si="210"/>
        <v>0</v>
      </c>
      <c r="AB1473" s="228" t="str">
        <f t="shared" si="211"/>
        <v>TungstenOOO “Technolom” 1</v>
      </c>
    </row>
    <row r="1474" spans="1:28" s="227" customFormat="1" ht="54">
      <c r="A1474" s="301" t="s">
        <v>15098</v>
      </c>
      <c r="B1474" s="293" t="s">
        <v>1122</v>
      </c>
      <c r="C1474" s="294" t="s">
        <v>15097</v>
      </c>
      <c r="D1474" s="295" t="s">
        <v>15097</v>
      </c>
      <c r="E1474" s="293" t="s">
        <v>873</v>
      </c>
      <c r="F1474" s="293" t="s">
        <v>15098</v>
      </c>
      <c r="G1474" s="293" t="s">
        <v>13217</v>
      </c>
      <c r="H1474" s="296" t="s">
        <v>15855</v>
      </c>
      <c r="I1474" s="297" t="s">
        <v>15118</v>
      </c>
      <c r="J1474" s="297" t="s">
        <v>9937</v>
      </c>
      <c r="K1474" s="298" t="s">
        <v>15855</v>
      </c>
      <c r="L1474" s="298" t="s">
        <v>15855</v>
      </c>
      <c r="M1474" s="298" t="s">
        <v>15855</v>
      </c>
      <c r="N1474" s="298" t="s">
        <v>15855</v>
      </c>
      <c r="O1474" s="298" t="s">
        <v>15855</v>
      </c>
      <c r="P1474" s="299" t="s">
        <v>15857</v>
      </c>
      <c r="Q1474" s="300" t="s">
        <v>15855</v>
      </c>
      <c r="R1474" s="182" t="str">
        <f ca="1">IF(ISERROR($V1474),"",OFFSET('Smelter Look-up'!$C$4,$V1474-4,0)&amp;"")</f>
        <v>OOO “Technolom” 2</v>
      </c>
      <c r="S1474" s="181" t="str">
        <f t="shared" ca="1" si="209"/>
        <v>RU</v>
      </c>
      <c r="T1474" s="181" t="str">
        <f ca="1">IF(B1474="","",IF(ISERROR(MATCH($J1474,SorP!$B$1:$B$6226,0)),"",INDIRECT("'SorP'!$A$"&amp;MATCH($S1474&amp;$J1474,SorP!C:C,0))))</f>
        <v>RU-MOS</v>
      </c>
      <c r="U1474" s="201"/>
      <c r="V1474" s="226">
        <f>IF(C1474="",NA(),IF(OR(C1474="Smelter not listed",C1474="Smelter not yet identified"),MATCH($B1474&amp;$D1474,'Smelter Look-up'!$J:$J,0),MATCH($B1474&amp;$C1474,'Smelter Look-up'!$J:$J,0)))</f>
        <v>645</v>
      </c>
      <c r="X1474" s="227">
        <f t="shared" si="210"/>
        <v>0</v>
      </c>
      <c r="AB1474" s="228" t="str">
        <f t="shared" si="211"/>
        <v>TungstenOOO “Technolom” 2</v>
      </c>
    </row>
    <row r="1475" spans="1:28" s="227" customFormat="1" ht="108">
      <c r="A1475" s="301" t="s">
        <v>2256</v>
      </c>
      <c r="B1475" s="293" t="s">
        <v>1122</v>
      </c>
      <c r="C1475" s="294" t="s">
        <v>2326</v>
      </c>
      <c r="D1475" s="295" t="s">
        <v>2326</v>
      </c>
      <c r="E1475" s="293" t="s">
        <v>871</v>
      </c>
      <c r="F1475" s="293" t="s">
        <v>2256</v>
      </c>
      <c r="G1475" s="293" t="s">
        <v>15855</v>
      </c>
      <c r="H1475" s="296" t="s">
        <v>15855</v>
      </c>
      <c r="I1475" s="297" t="s">
        <v>2257</v>
      </c>
      <c r="J1475" s="297" t="s">
        <v>2258</v>
      </c>
      <c r="K1475" s="298" t="s">
        <v>15855</v>
      </c>
      <c r="L1475" s="298" t="s">
        <v>15855</v>
      </c>
      <c r="M1475" s="298" t="s">
        <v>15855</v>
      </c>
      <c r="N1475" s="298" t="s">
        <v>15855</v>
      </c>
      <c r="O1475" s="298" t="s">
        <v>15925</v>
      </c>
      <c r="P1475" s="299" t="s">
        <v>15857</v>
      </c>
      <c r="Q1475" s="300" t="s">
        <v>15855</v>
      </c>
      <c r="R1475" s="182" t="str">
        <f ca="1">IF(ISERROR($V1475),"",OFFSET('Smelter Look-up'!$C$4,$V1475-4,0)&amp;"")</f>
        <v>Philippine Chuangxin Industrial Co., Inc.</v>
      </c>
      <c r="S1475" s="181" t="str">
        <f t="shared" ca="1" si="209"/>
        <v>PH</v>
      </c>
      <c r="T1475" s="181" t="str">
        <f ca="1">IF(B1475="","",IF(ISERROR(MATCH($J1475,SorP!$B$1:$B$6226,0)),"",INDIRECT("'SorP'!$A$"&amp;MATCH($S1475&amp;$J1475,SorP!C:C,0))))</f>
        <v>PH-BUL</v>
      </c>
      <c r="U1475" s="201"/>
      <c r="V1475" s="226">
        <f>IF(C1475="",NA(),IF(OR(C1475="Smelter not listed",C1475="Smelter not yet identified"),MATCH($B1475&amp;$D1475,'Smelter Look-up'!$J:$J,0),MATCH($B1475&amp;$C1475,'Smelter Look-up'!$J:$J,0)))</f>
        <v>648</v>
      </c>
      <c r="X1475" s="227">
        <f t="shared" si="210"/>
        <v>0</v>
      </c>
      <c r="AB1475" s="228" t="str">
        <f t="shared" si="211"/>
        <v>TungstenPhilippine Chuangxin Industrial Co., Inc.</v>
      </c>
    </row>
    <row r="1476" spans="1:28" s="227" customFormat="1" ht="108">
      <c r="A1476" s="301" t="s">
        <v>2256</v>
      </c>
      <c r="B1476" s="293" t="s">
        <v>1122</v>
      </c>
      <c r="C1476" s="294" t="s">
        <v>2326</v>
      </c>
      <c r="D1476" s="295" t="s">
        <v>2326</v>
      </c>
      <c r="E1476" s="293" t="s">
        <v>871</v>
      </c>
      <c r="F1476" s="293" t="s">
        <v>2256</v>
      </c>
      <c r="G1476" s="293" t="s">
        <v>13217</v>
      </c>
      <c r="H1476" s="296" t="s">
        <v>15855</v>
      </c>
      <c r="I1476" s="297" t="s">
        <v>2257</v>
      </c>
      <c r="J1476" s="297" t="s">
        <v>2258</v>
      </c>
      <c r="K1476" s="298" t="s">
        <v>15855</v>
      </c>
      <c r="L1476" s="298" t="s">
        <v>15855</v>
      </c>
      <c r="M1476" s="298" t="s">
        <v>15855</v>
      </c>
      <c r="N1476" s="298" t="s">
        <v>15855</v>
      </c>
      <c r="O1476" s="298" t="s">
        <v>15855</v>
      </c>
      <c r="P1476" s="299" t="s">
        <v>15857</v>
      </c>
      <c r="Q1476" s="300" t="s">
        <v>15855</v>
      </c>
      <c r="R1476" s="182" t="str">
        <f ca="1">IF(ISERROR($V1476),"",OFFSET('Smelter Look-up'!$C$4,$V1476-4,0)&amp;"")</f>
        <v>Philippine Chuangxin Industrial Co., Inc.</v>
      </c>
      <c r="S1476" s="181" t="str">
        <f t="shared" ca="1" si="209"/>
        <v>PH</v>
      </c>
      <c r="T1476" s="181" t="str">
        <f ca="1">IF(B1476="","",IF(ISERROR(MATCH($J1476,SorP!$B$1:$B$6226,0)),"",INDIRECT("'SorP'!$A$"&amp;MATCH($S1476&amp;$J1476,SorP!C:C,0))))</f>
        <v>PH-BUL</v>
      </c>
      <c r="U1476" s="201"/>
      <c r="V1476" s="226">
        <f>IF(C1476="",NA(),IF(OR(C1476="Smelter not listed",C1476="Smelter not yet identified"),MATCH($B1476&amp;$D1476,'Smelter Look-up'!$J:$J,0),MATCH($B1476&amp;$C1476,'Smelter Look-up'!$J:$J,0)))</f>
        <v>648</v>
      </c>
      <c r="X1476" s="227">
        <f t="shared" si="210"/>
        <v>0</v>
      </c>
      <c r="AB1476" s="228" t="str">
        <f t="shared" si="211"/>
        <v>TungstenPhilippine Chuangxin Industrial Co., Inc.</v>
      </c>
    </row>
    <row r="1477" spans="1:28" s="227" customFormat="1" ht="108">
      <c r="A1477" s="301" t="s">
        <v>2256</v>
      </c>
      <c r="B1477" s="293" t="s">
        <v>1122</v>
      </c>
      <c r="C1477" s="294" t="s">
        <v>2326</v>
      </c>
      <c r="D1477" s="295" t="s">
        <v>2326</v>
      </c>
      <c r="E1477" s="293" t="s">
        <v>871</v>
      </c>
      <c r="F1477" s="293" t="s">
        <v>2256</v>
      </c>
      <c r="G1477" s="293" t="s">
        <v>13217</v>
      </c>
      <c r="H1477" s="296" t="s">
        <v>15855</v>
      </c>
      <c r="I1477" s="297" t="s">
        <v>2257</v>
      </c>
      <c r="J1477" s="297" t="s">
        <v>2258</v>
      </c>
      <c r="K1477" s="298" t="s">
        <v>17090</v>
      </c>
      <c r="L1477" s="298" t="s">
        <v>17091</v>
      </c>
      <c r="M1477" s="298" t="s">
        <v>15869</v>
      </c>
      <c r="N1477" s="298" t="s">
        <v>15876</v>
      </c>
      <c r="O1477" s="298" t="s">
        <v>15879</v>
      </c>
      <c r="P1477" s="299" t="s">
        <v>15875</v>
      </c>
      <c r="Q1477" s="300" t="s">
        <v>15855</v>
      </c>
      <c r="R1477" s="182" t="str">
        <f ca="1">IF(ISERROR($V1477),"",OFFSET('Smelter Look-up'!$C$4,$V1477-4,0)&amp;"")</f>
        <v>Philippine Chuangxin Industrial Co., Inc.</v>
      </c>
      <c r="S1477" s="181" t="str">
        <f t="shared" ca="1" si="209"/>
        <v>PH</v>
      </c>
      <c r="T1477" s="181" t="str">
        <f ca="1">IF(B1477="","",IF(ISERROR(MATCH($J1477,SorP!$B$1:$B$6226,0)),"",INDIRECT("'SorP'!$A$"&amp;MATCH($S1477&amp;$J1477,SorP!C:C,0))))</f>
        <v>PH-BUL</v>
      </c>
      <c r="U1477" s="201"/>
      <c r="V1477" s="226">
        <f>IF(C1477="",NA(),IF(OR(C1477="Smelter not listed",C1477="Smelter not yet identified"),MATCH($B1477&amp;$D1477,'Smelter Look-up'!$J:$J,0),MATCH($B1477&amp;$C1477,'Smelter Look-up'!$J:$J,0)))</f>
        <v>648</v>
      </c>
      <c r="X1477" s="227">
        <f t="shared" si="210"/>
        <v>0</v>
      </c>
      <c r="AB1477" s="228" t="str">
        <f t="shared" si="211"/>
        <v>TungstenPhilippine Chuangxin Industrial Co., Inc.</v>
      </c>
    </row>
    <row r="1478" spans="1:28" s="227" customFormat="1" ht="81">
      <c r="A1478" s="301" t="s">
        <v>1415</v>
      </c>
      <c r="B1478" s="293" t="s">
        <v>1122</v>
      </c>
      <c r="C1478" s="294" t="s">
        <v>15050</v>
      </c>
      <c r="D1478" s="295" t="s">
        <v>15050</v>
      </c>
      <c r="E1478" s="293" t="s">
        <v>1091</v>
      </c>
      <c r="F1478" s="293" t="s">
        <v>1415</v>
      </c>
      <c r="G1478" s="293" t="s">
        <v>13217</v>
      </c>
      <c r="H1478" s="296" t="s">
        <v>15855</v>
      </c>
      <c r="I1478" s="297" t="s">
        <v>1737</v>
      </c>
      <c r="J1478" s="297" t="s">
        <v>1536</v>
      </c>
      <c r="K1478" s="298" t="s">
        <v>15855</v>
      </c>
      <c r="L1478" s="298" t="s">
        <v>15855</v>
      </c>
      <c r="M1478" s="298" t="s">
        <v>15855</v>
      </c>
      <c r="N1478" s="298" t="s">
        <v>15855</v>
      </c>
      <c r="O1478" s="298" t="s">
        <v>15855</v>
      </c>
      <c r="P1478" s="299" t="s">
        <v>15857</v>
      </c>
      <c r="Q1478" s="300" t="s">
        <v>15855</v>
      </c>
      <c r="R1478" s="182" t="str">
        <f ca="1">IF(ISERROR($V1478),"",OFFSET('Smelter Look-up'!$C$4,$V1478-4,0)&amp;"")</f>
        <v>TANIOBIS Smelting GmbH &amp; Co. KG</v>
      </c>
      <c r="S1478" s="181" t="str">
        <f t="shared" ca="1" si="209"/>
        <v>DE</v>
      </c>
      <c r="T1478" s="181" t="str">
        <f ca="1">IF(B1478="","",IF(ISERROR(MATCH($J1478,SorP!$B$1:$B$6226,0)),"",INDIRECT("'SorP'!$A$"&amp;MATCH($S1478&amp;$J1478,SorP!C:C,0))))</f>
        <v>DE-BW</v>
      </c>
      <c r="U1478" s="201"/>
      <c r="V1478" s="226">
        <f>IF(C1478="",NA(),IF(OR(C1478="Smelter not listed",C1478="Smelter not yet identified"),MATCH($B1478&amp;$D1478,'Smelter Look-up'!$J:$J,0),MATCH($B1478&amp;$C1478,'Smelter Look-up'!$J:$J,0)))</f>
        <v>650</v>
      </c>
      <c r="X1478" s="227">
        <f t="shared" si="210"/>
        <v>0</v>
      </c>
      <c r="AB1478" s="228" t="str">
        <f t="shared" si="211"/>
        <v>TungstenTANIOBIS Smelting GmbH &amp; Co. KG</v>
      </c>
    </row>
    <row r="1479" spans="1:28" s="227" customFormat="1" ht="81">
      <c r="A1479" s="301" t="s">
        <v>1415</v>
      </c>
      <c r="B1479" s="293" t="s">
        <v>1122</v>
      </c>
      <c r="C1479" s="294" t="s">
        <v>15050</v>
      </c>
      <c r="D1479" s="295" t="s">
        <v>15050</v>
      </c>
      <c r="E1479" s="293" t="s">
        <v>1091</v>
      </c>
      <c r="F1479" s="293" t="s">
        <v>1415</v>
      </c>
      <c r="G1479" s="293" t="s">
        <v>13217</v>
      </c>
      <c r="H1479" s="296" t="s">
        <v>15855</v>
      </c>
      <c r="I1479" s="297" t="s">
        <v>1737</v>
      </c>
      <c r="J1479" s="297" t="s">
        <v>1536</v>
      </c>
      <c r="K1479" s="298" t="s">
        <v>16384</v>
      </c>
      <c r="L1479" s="298" t="s">
        <v>16491</v>
      </c>
      <c r="M1479" s="298" t="s">
        <v>17092</v>
      </c>
      <c r="N1479" s="298" t="s">
        <v>15870</v>
      </c>
      <c r="O1479" s="298" t="s">
        <v>16953</v>
      </c>
      <c r="P1479" s="299" t="s">
        <v>15857</v>
      </c>
      <c r="Q1479" s="300" t="s">
        <v>15855</v>
      </c>
      <c r="R1479" s="182" t="str">
        <f ca="1">IF(ISERROR($V1479),"",OFFSET('Smelter Look-up'!$C$4,$V1479-4,0)&amp;"")</f>
        <v>TANIOBIS Smelting GmbH &amp; Co. KG</v>
      </c>
      <c r="S1479" s="181" t="str">
        <f t="shared" ca="1" si="209"/>
        <v>DE</v>
      </c>
      <c r="T1479" s="181" t="str">
        <f ca="1">IF(B1479="","",IF(ISERROR(MATCH($J1479,SorP!$B$1:$B$6226,0)),"",INDIRECT("'SorP'!$A$"&amp;MATCH($S1479&amp;$J1479,SorP!C:C,0))))</f>
        <v>DE-BW</v>
      </c>
      <c r="U1479" s="201"/>
      <c r="V1479" s="226">
        <f>IF(C1479="",NA(),IF(OR(C1479="Smelter not listed",C1479="Smelter not yet identified"),MATCH($B1479&amp;$D1479,'Smelter Look-up'!$J:$J,0),MATCH($B1479&amp;$C1479,'Smelter Look-up'!$J:$J,0)))</f>
        <v>650</v>
      </c>
      <c r="X1479" s="227">
        <f t="shared" si="210"/>
        <v>0</v>
      </c>
      <c r="AB1479" s="228" t="str">
        <f t="shared" si="211"/>
        <v>TungstenTANIOBIS Smelting GmbH &amp; Co. KG</v>
      </c>
    </row>
    <row r="1480" spans="1:28" s="227" customFormat="1" ht="81">
      <c r="A1480" s="301" t="s">
        <v>1415</v>
      </c>
      <c r="B1480" s="293" t="s">
        <v>1122</v>
      </c>
      <c r="C1480" s="294" t="s">
        <v>15050</v>
      </c>
      <c r="D1480" s="295" t="s">
        <v>15050</v>
      </c>
      <c r="E1480" s="293" t="s">
        <v>1091</v>
      </c>
      <c r="F1480" s="293" t="s">
        <v>1415</v>
      </c>
      <c r="G1480" s="293" t="s">
        <v>13217</v>
      </c>
      <c r="H1480" s="302" t="s">
        <v>15880</v>
      </c>
      <c r="I1480" s="297" t="s">
        <v>1737</v>
      </c>
      <c r="J1480" s="297" t="s">
        <v>1536</v>
      </c>
      <c r="K1480" s="298" t="s">
        <v>15855</v>
      </c>
      <c r="L1480" s="298" t="s">
        <v>15855</v>
      </c>
      <c r="M1480" s="298" t="s">
        <v>15855</v>
      </c>
      <c r="N1480" s="298" t="s">
        <v>15855</v>
      </c>
      <c r="O1480" s="298" t="s">
        <v>15855</v>
      </c>
      <c r="P1480" s="299" t="s">
        <v>15857</v>
      </c>
      <c r="Q1480" s="300" t="s">
        <v>15855</v>
      </c>
      <c r="R1480" s="182" t="str">
        <f ca="1">IF(ISERROR($V1480),"",OFFSET('Smelter Look-up'!$C$4,$V1480-4,0)&amp;"")</f>
        <v>TANIOBIS Smelting GmbH &amp; Co. KG</v>
      </c>
      <c r="S1480" s="181" t="str">
        <f t="shared" ca="1" si="209"/>
        <v>DE</v>
      </c>
      <c r="T1480" s="181" t="str">
        <f ca="1">IF(B1480="","",IF(ISERROR(MATCH($J1480,SorP!$B$1:$B$6226,0)),"",INDIRECT("'SorP'!$A$"&amp;MATCH($S1480&amp;$J1480,SorP!C:C,0))))</f>
        <v>DE-BW</v>
      </c>
      <c r="U1480" s="201"/>
      <c r="V1480" s="226">
        <f>IF(C1480="",NA(),IF(OR(C1480="Smelter not listed",C1480="Smelter not yet identified"),MATCH($B1480&amp;$D1480,'Smelter Look-up'!$J:$J,0),MATCH($B1480&amp;$C1480,'Smelter Look-up'!$J:$J,0)))</f>
        <v>650</v>
      </c>
      <c r="X1480" s="227">
        <f t="shared" si="210"/>
        <v>0</v>
      </c>
      <c r="AB1480" s="228" t="str">
        <f t="shared" si="211"/>
        <v>TungstenTANIOBIS Smelting GmbH &amp; Co. KG</v>
      </c>
    </row>
    <row r="1481" spans="1:28" s="227" customFormat="1" ht="81">
      <c r="A1481" s="301" t="s">
        <v>17093</v>
      </c>
      <c r="B1481" s="293" t="s">
        <v>1122</v>
      </c>
      <c r="C1481" s="294" t="s">
        <v>17094</v>
      </c>
      <c r="D1481" s="295" t="s">
        <v>17094</v>
      </c>
      <c r="E1481" s="293" t="s">
        <v>882</v>
      </c>
      <c r="F1481" s="293" t="s">
        <v>17093</v>
      </c>
      <c r="G1481" s="293" t="s">
        <v>13217</v>
      </c>
      <c r="H1481" s="296" t="s">
        <v>15855</v>
      </c>
      <c r="I1481" s="297" t="s">
        <v>17095</v>
      </c>
      <c r="J1481" s="297" t="s">
        <v>12140</v>
      </c>
      <c r="K1481" s="298" t="s">
        <v>15855</v>
      </c>
      <c r="L1481" s="298" t="s">
        <v>15855</v>
      </c>
      <c r="M1481" s="298" t="s">
        <v>15855</v>
      </c>
      <c r="N1481" s="298" t="s">
        <v>15855</v>
      </c>
      <c r="O1481" s="298" t="s">
        <v>15855</v>
      </c>
      <c r="P1481" s="299" t="s">
        <v>15857</v>
      </c>
      <c r="Q1481" s="300" t="s">
        <v>15855</v>
      </c>
      <c r="R1481" s="182" t="str">
        <f ca="1">IF(ISERROR($V1481),"",OFFSET('Smelter Look-up'!$C$4,$V1481-4,0)&amp;"")</f>
        <v/>
      </c>
      <c r="S1481" s="181" t="str">
        <f t="shared" ca="1" si="209"/>
        <v>VN</v>
      </c>
      <c r="T1481" s="181" t="str">
        <f ca="1">IF(B1481="","",IF(ISERROR(MATCH($J1481,SorP!$B$1:$B$6226,0)),"",INDIRECT("'SorP'!$A$"&amp;MATCH($S1481&amp;$J1481,SorP!C:C,0))))</f>
        <v>VN-37</v>
      </c>
      <c r="U1481" s="201"/>
      <c r="V1481" s="226" t="e">
        <f>IF(C1481="",NA(),IF(OR(C1481="Smelter not listed",C1481="Smelter not yet identified"),MATCH($B1481&amp;$D1481,'Smelter Look-up'!$J:$J,0),MATCH($B1481&amp;$C1481,'Smelter Look-up'!$J:$J,0)))</f>
        <v>#N/A</v>
      </c>
      <c r="X1481" s="227">
        <f t="shared" si="210"/>
        <v>0</v>
      </c>
      <c r="AB1481" s="228" t="str">
        <f t="shared" si="211"/>
        <v>TungstenTejing (Vietnam) Tungsten Co., Ltd.</v>
      </c>
    </row>
    <row r="1482" spans="1:28" s="227" customFormat="1" ht="67.5">
      <c r="A1482" s="301" t="s">
        <v>2431</v>
      </c>
      <c r="B1482" s="293" t="s">
        <v>1122</v>
      </c>
      <c r="C1482" s="294" t="s">
        <v>2430</v>
      </c>
      <c r="D1482" s="295" t="s">
        <v>2430</v>
      </c>
      <c r="E1482" s="293" t="s">
        <v>873</v>
      </c>
      <c r="F1482" s="293" t="s">
        <v>2431</v>
      </c>
      <c r="G1482" s="293" t="s">
        <v>15855</v>
      </c>
      <c r="H1482" s="296" t="s">
        <v>15855</v>
      </c>
      <c r="I1482" s="297" t="s">
        <v>2520</v>
      </c>
      <c r="J1482" s="297" t="s">
        <v>9924</v>
      </c>
      <c r="K1482" s="298" t="s">
        <v>15855</v>
      </c>
      <c r="L1482" s="298" t="s">
        <v>15855</v>
      </c>
      <c r="M1482" s="298" t="s">
        <v>15855</v>
      </c>
      <c r="N1482" s="298" t="s">
        <v>15855</v>
      </c>
      <c r="O1482" s="298" t="s">
        <v>15858</v>
      </c>
      <c r="P1482" s="299" t="s">
        <v>15857</v>
      </c>
      <c r="Q1482" s="300" t="s">
        <v>15855</v>
      </c>
      <c r="R1482" s="182" t="str">
        <f ca="1">IF(ISERROR($V1482),"",OFFSET('Smelter Look-up'!$C$4,$V1482-4,0)&amp;"")</f>
        <v>Unecha Refractory metals plant</v>
      </c>
      <c r="S1482" s="181" t="str">
        <f t="shared" ca="1" si="209"/>
        <v>RU</v>
      </c>
      <c r="T1482" s="181" t="str">
        <f ca="1">IF(B1482="","",IF(ISERROR(MATCH($J1482,SorP!$B$1:$B$6226,0)),"",INDIRECT("'SorP'!$A$"&amp;MATCH($S1482&amp;$J1482,SorP!C:C,0))))</f>
        <v>RU-BRY</v>
      </c>
      <c r="U1482" s="201"/>
      <c r="V1482" s="226">
        <f>IF(C1482="",NA(),IF(OR(C1482="Smelter not listed",C1482="Smelter not yet identified"),MATCH($B1482&amp;$D1482,'Smelter Look-up'!$J:$J,0),MATCH($B1482&amp;$C1482,'Smelter Look-up'!$J:$J,0)))</f>
        <v>652</v>
      </c>
      <c r="X1482" s="227">
        <f t="shared" si="210"/>
        <v>0</v>
      </c>
      <c r="AB1482" s="228" t="str">
        <f t="shared" si="211"/>
        <v>TungstenUnecha Refractory metals plant</v>
      </c>
    </row>
    <row r="1483" spans="1:28" s="227" customFormat="1" ht="67.5">
      <c r="A1483" s="301" t="s">
        <v>2431</v>
      </c>
      <c r="B1483" s="293" t="s">
        <v>1122</v>
      </c>
      <c r="C1483" s="294" t="s">
        <v>2430</v>
      </c>
      <c r="D1483" s="295" t="s">
        <v>2430</v>
      </c>
      <c r="E1483" s="293" t="s">
        <v>873</v>
      </c>
      <c r="F1483" s="293" t="s">
        <v>2431</v>
      </c>
      <c r="G1483" s="293" t="s">
        <v>13217</v>
      </c>
      <c r="H1483" s="296" t="s">
        <v>15855</v>
      </c>
      <c r="I1483" s="297" t="s">
        <v>2520</v>
      </c>
      <c r="J1483" s="297" t="s">
        <v>9924</v>
      </c>
      <c r="K1483" s="298" t="s">
        <v>15855</v>
      </c>
      <c r="L1483" s="298" t="s">
        <v>15855</v>
      </c>
      <c r="M1483" s="298" t="s">
        <v>15855</v>
      </c>
      <c r="N1483" s="298" t="s">
        <v>15855</v>
      </c>
      <c r="O1483" s="298" t="s">
        <v>15855</v>
      </c>
      <c r="P1483" s="299" t="s">
        <v>15857</v>
      </c>
      <c r="Q1483" s="300" t="s">
        <v>15855</v>
      </c>
      <c r="R1483" s="182" t="str">
        <f ca="1">IF(ISERROR($V1483),"",OFFSET('Smelter Look-up'!$C$4,$V1483-4,0)&amp;"")</f>
        <v>Unecha Refractory metals plant</v>
      </c>
      <c r="S1483" s="181" t="str">
        <f t="shared" ca="1" si="209"/>
        <v>RU</v>
      </c>
      <c r="T1483" s="181" t="str">
        <f ca="1">IF(B1483="","",IF(ISERROR(MATCH($J1483,SorP!$B$1:$B$6226,0)),"",INDIRECT("'SorP'!$A$"&amp;MATCH($S1483&amp;$J1483,SorP!C:C,0))))</f>
        <v>RU-BRY</v>
      </c>
      <c r="U1483" s="201"/>
      <c r="V1483" s="226">
        <f>IF(C1483="",NA(),IF(OR(C1483="Smelter not listed",C1483="Smelter not yet identified"),MATCH($B1483&amp;$D1483,'Smelter Look-up'!$J:$J,0),MATCH($B1483&amp;$C1483,'Smelter Look-up'!$J:$J,0)))</f>
        <v>652</v>
      </c>
      <c r="X1483" s="227">
        <f t="shared" si="210"/>
        <v>0</v>
      </c>
      <c r="AB1483" s="228" t="str">
        <f t="shared" si="211"/>
        <v>TungstenUnecha Refractory metals plant</v>
      </c>
    </row>
    <row r="1484" spans="1:28" s="227" customFormat="1" ht="67.5">
      <c r="A1484" s="301" t="s">
        <v>2431</v>
      </c>
      <c r="B1484" s="293" t="s">
        <v>1122</v>
      </c>
      <c r="C1484" s="294" t="s">
        <v>2430</v>
      </c>
      <c r="D1484" s="295" t="s">
        <v>2430</v>
      </c>
      <c r="E1484" s="293" t="s">
        <v>873</v>
      </c>
      <c r="F1484" s="293" t="s">
        <v>2431</v>
      </c>
      <c r="G1484" s="293" t="s">
        <v>13217</v>
      </c>
      <c r="H1484" s="296" t="s">
        <v>15855</v>
      </c>
      <c r="I1484" s="297" t="s">
        <v>2520</v>
      </c>
      <c r="J1484" s="297" t="s">
        <v>9924</v>
      </c>
      <c r="K1484" s="298" t="s">
        <v>17096</v>
      </c>
      <c r="L1484" s="298" t="s">
        <v>17097</v>
      </c>
      <c r="M1484" s="298" t="s">
        <v>15869</v>
      </c>
      <c r="N1484" s="298" t="s">
        <v>15870</v>
      </c>
      <c r="O1484" s="298" t="s">
        <v>17098</v>
      </c>
      <c r="P1484" s="299" t="s">
        <v>15857</v>
      </c>
      <c r="Q1484" s="300" t="s">
        <v>15855</v>
      </c>
      <c r="R1484" s="182" t="str">
        <f ca="1">IF(ISERROR($V1484),"",OFFSET('Smelter Look-up'!$C$4,$V1484-4,0)&amp;"")</f>
        <v>Unecha Refractory metals plant</v>
      </c>
      <c r="S1484" s="181" t="str">
        <f t="shared" ca="1" si="209"/>
        <v>RU</v>
      </c>
      <c r="T1484" s="181" t="str">
        <f ca="1">IF(B1484="","",IF(ISERROR(MATCH($J1484,SorP!$B$1:$B$6226,0)),"",INDIRECT("'SorP'!$A$"&amp;MATCH($S1484&amp;$J1484,SorP!C:C,0))))</f>
        <v>RU-BRY</v>
      </c>
      <c r="U1484" s="201"/>
      <c r="V1484" s="226">
        <f>IF(C1484="",NA(),IF(OR(C1484="Smelter not listed",C1484="Smelter not yet identified"),MATCH($B1484&amp;$D1484,'Smelter Look-up'!$J:$J,0),MATCH($B1484&amp;$C1484,'Smelter Look-up'!$J:$J,0)))</f>
        <v>652</v>
      </c>
      <c r="X1484" s="227">
        <f t="shared" si="210"/>
        <v>0</v>
      </c>
      <c r="AB1484" s="228" t="str">
        <f t="shared" si="211"/>
        <v>TungstenUnecha Refractory metals plant</v>
      </c>
    </row>
    <row r="1485" spans="1:28" s="227" customFormat="1" ht="81">
      <c r="A1485" s="301" t="s">
        <v>792</v>
      </c>
      <c r="B1485" s="293" t="s">
        <v>1122</v>
      </c>
      <c r="C1485" s="294" t="s">
        <v>2521</v>
      </c>
      <c r="D1485" s="295" t="s">
        <v>2521</v>
      </c>
      <c r="E1485" s="293" t="s">
        <v>1084</v>
      </c>
      <c r="F1485" s="293" t="s">
        <v>792</v>
      </c>
      <c r="G1485" s="293" t="s">
        <v>15855</v>
      </c>
      <c r="H1485" s="296" t="s">
        <v>15855</v>
      </c>
      <c r="I1485" s="297" t="s">
        <v>1814</v>
      </c>
      <c r="J1485" s="297" t="s">
        <v>2792</v>
      </c>
      <c r="K1485" s="298" t="s">
        <v>15855</v>
      </c>
      <c r="L1485" s="298" t="s">
        <v>15855</v>
      </c>
      <c r="M1485" s="298" t="s">
        <v>15855</v>
      </c>
      <c r="N1485" s="298" t="s">
        <v>15855</v>
      </c>
      <c r="O1485" s="298" t="s">
        <v>15855</v>
      </c>
      <c r="P1485" s="299" t="s">
        <v>15857</v>
      </c>
      <c r="Q1485" s="300" t="s">
        <v>15855</v>
      </c>
      <c r="R1485" s="182" t="str">
        <f ca="1">IF(ISERROR($V1485),"",OFFSET('Smelter Look-up'!$C$4,$V1485-4,0)&amp;"")</f>
        <v>Wolfram Bergbau und Hutten AG</v>
      </c>
      <c r="S1485" s="181" t="str">
        <f t="shared" ca="1" si="209"/>
        <v>AT</v>
      </c>
      <c r="T1485" s="181" t="str">
        <f ca="1">IF(B1485="","",IF(ISERROR(MATCH($J1485,SorP!$B$1:$B$6226,0)),"",INDIRECT("'SorP'!$A$"&amp;MATCH($S1485&amp;$J1485,SorP!C:C,0))))</f>
        <v>AT-6</v>
      </c>
      <c r="U1485" s="201"/>
      <c r="V1485" s="226">
        <f>IF(C1485="",NA(),IF(OR(C1485="Smelter not listed",C1485="Smelter not yet identified"),MATCH($B1485&amp;$D1485,'Smelter Look-up'!$J:$J,0),MATCH($B1485&amp;$C1485,'Smelter Look-up'!$J:$J,0)))</f>
        <v>655</v>
      </c>
      <c r="X1485" s="227">
        <f t="shared" si="210"/>
        <v>0</v>
      </c>
      <c r="AB1485" s="228" t="str">
        <f t="shared" si="211"/>
        <v>TungstenWolfram Bergbau und Hutten AG</v>
      </c>
    </row>
    <row r="1486" spans="1:28" s="227" customFormat="1" ht="81">
      <c r="A1486" s="301" t="s">
        <v>792</v>
      </c>
      <c r="B1486" s="293" t="s">
        <v>1122</v>
      </c>
      <c r="C1486" s="294" t="s">
        <v>2521</v>
      </c>
      <c r="D1486" s="295" t="s">
        <v>2521</v>
      </c>
      <c r="E1486" s="293" t="s">
        <v>1084</v>
      </c>
      <c r="F1486" s="293" t="s">
        <v>792</v>
      </c>
      <c r="G1486" s="293" t="s">
        <v>15855</v>
      </c>
      <c r="H1486" s="296" t="s">
        <v>15855</v>
      </c>
      <c r="I1486" s="297" t="s">
        <v>1814</v>
      </c>
      <c r="J1486" s="297" t="s">
        <v>2792</v>
      </c>
      <c r="K1486" s="298" t="s">
        <v>15855</v>
      </c>
      <c r="L1486" s="298" t="s">
        <v>15855</v>
      </c>
      <c r="M1486" s="298" t="s">
        <v>15855</v>
      </c>
      <c r="N1486" s="298" t="s">
        <v>15855</v>
      </c>
      <c r="O1486" s="298" t="s">
        <v>15866</v>
      </c>
      <c r="P1486" s="299" t="s">
        <v>15857</v>
      </c>
      <c r="Q1486" s="300" t="s">
        <v>15855</v>
      </c>
      <c r="R1486" s="182" t="str">
        <f ca="1">IF(ISERROR($V1486),"",OFFSET('Smelter Look-up'!$C$4,$V1486-4,0)&amp;"")</f>
        <v>Wolfram Bergbau und Hutten AG</v>
      </c>
      <c r="S1486" s="181" t="str">
        <f t="shared" ca="1" si="209"/>
        <v>AT</v>
      </c>
      <c r="T1486" s="181" t="str">
        <f ca="1">IF(B1486="","",IF(ISERROR(MATCH($J1486,SorP!$B$1:$B$6226,0)),"",INDIRECT("'SorP'!$A$"&amp;MATCH($S1486&amp;$J1486,SorP!C:C,0))))</f>
        <v>AT-6</v>
      </c>
      <c r="U1486" s="201"/>
      <c r="V1486" s="226">
        <f>IF(C1486="",NA(),IF(OR(C1486="Smelter not listed",C1486="Smelter not yet identified"),MATCH($B1486&amp;$D1486,'Smelter Look-up'!$J:$J,0),MATCH($B1486&amp;$C1486,'Smelter Look-up'!$J:$J,0)))</f>
        <v>655</v>
      </c>
      <c r="X1486" s="227">
        <f t="shared" si="210"/>
        <v>0</v>
      </c>
      <c r="AB1486" s="228" t="str">
        <f t="shared" si="211"/>
        <v>TungstenWolfram Bergbau und Hutten AG</v>
      </c>
    </row>
    <row r="1487" spans="1:28" s="227" customFormat="1" ht="81">
      <c r="A1487" s="301" t="s">
        <v>792</v>
      </c>
      <c r="B1487" s="293" t="s">
        <v>1122</v>
      </c>
      <c r="C1487" s="294" t="s">
        <v>2521</v>
      </c>
      <c r="D1487" s="295" t="s">
        <v>2521</v>
      </c>
      <c r="E1487" s="293" t="s">
        <v>1084</v>
      </c>
      <c r="F1487" s="293" t="s">
        <v>792</v>
      </c>
      <c r="G1487" s="293" t="s">
        <v>13217</v>
      </c>
      <c r="H1487" s="296" t="s">
        <v>15855</v>
      </c>
      <c r="I1487" s="297" t="s">
        <v>1814</v>
      </c>
      <c r="J1487" s="297" t="s">
        <v>2792</v>
      </c>
      <c r="K1487" s="298" t="s">
        <v>15855</v>
      </c>
      <c r="L1487" s="298" t="s">
        <v>15855</v>
      </c>
      <c r="M1487" s="298" t="s">
        <v>15855</v>
      </c>
      <c r="N1487" s="298" t="s">
        <v>15855</v>
      </c>
      <c r="O1487" s="298" t="s">
        <v>15855</v>
      </c>
      <c r="P1487" s="299" t="s">
        <v>15857</v>
      </c>
      <c r="Q1487" s="300" t="s">
        <v>15855</v>
      </c>
      <c r="R1487" s="182" t="str">
        <f ca="1">IF(ISERROR($V1487),"",OFFSET('Smelter Look-up'!$C$4,$V1487-4,0)&amp;"")</f>
        <v>Wolfram Bergbau und Hutten AG</v>
      </c>
      <c r="S1487" s="181" t="str">
        <f t="shared" ca="1" si="209"/>
        <v>AT</v>
      </c>
      <c r="T1487" s="181" t="str">
        <f ca="1">IF(B1487="","",IF(ISERROR(MATCH($J1487,SorP!$B$1:$B$6226,0)),"",INDIRECT("'SorP'!$A$"&amp;MATCH($S1487&amp;$J1487,SorP!C:C,0))))</f>
        <v>AT-6</v>
      </c>
      <c r="U1487" s="201"/>
      <c r="V1487" s="226">
        <f>IF(C1487="",NA(),IF(OR(C1487="Smelter not listed",C1487="Smelter not yet identified"),MATCH($B1487&amp;$D1487,'Smelter Look-up'!$J:$J,0),MATCH($B1487&amp;$C1487,'Smelter Look-up'!$J:$J,0)))</f>
        <v>655</v>
      </c>
      <c r="X1487" s="227">
        <f t="shared" si="210"/>
        <v>0</v>
      </c>
      <c r="AB1487" s="228" t="str">
        <f t="shared" si="211"/>
        <v>TungstenWolfram Bergbau und Hutten AG</v>
      </c>
    </row>
    <row r="1488" spans="1:28" s="227" customFormat="1" ht="81">
      <c r="A1488" s="301" t="s">
        <v>792</v>
      </c>
      <c r="B1488" s="293" t="s">
        <v>1122</v>
      </c>
      <c r="C1488" s="294" t="s">
        <v>2521</v>
      </c>
      <c r="D1488" s="295" t="s">
        <v>2521</v>
      </c>
      <c r="E1488" s="293" t="s">
        <v>1084</v>
      </c>
      <c r="F1488" s="293" t="s">
        <v>792</v>
      </c>
      <c r="G1488" s="293" t="s">
        <v>13217</v>
      </c>
      <c r="H1488" s="296" t="s">
        <v>15855</v>
      </c>
      <c r="I1488" s="297" t="s">
        <v>1814</v>
      </c>
      <c r="J1488" s="297" t="s">
        <v>2792</v>
      </c>
      <c r="K1488" s="298" t="s">
        <v>17099</v>
      </c>
      <c r="L1488" s="298" t="s">
        <v>17100</v>
      </c>
      <c r="M1488" s="298" t="s">
        <v>15953</v>
      </c>
      <c r="N1488" s="298" t="s">
        <v>17101</v>
      </c>
      <c r="O1488" s="298" t="s">
        <v>17102</v>
      </c>
      <c r="P1488" s="299" t="s">
        <v>15857</v>
      </c>
      <c r="Q1488" s="300" t="s">
        <v>15855</v>
      </c>
      <c r="R1488" s="182" t="str">
        <f ca="1">IF(ISERROR($V1488),"",OFFSET('Smelter Look-up'!$C$4,$V1488-4,0)&amp;"")</f>
        <v>Wolfram Bergbau und Hutten AG</v>
      </c>
      <c r="S1488" s="181" t="str">
        <f t="shared" ca="1" si="209"/>
        <v>AT</v>
      </c>
      <c r="T1488" s="181" t="str">
        <f ca="1">IF(B1488="","",IF(ISERROR(MATCH($J1488,SorP!$B$1:$B$6226,0)),"",INDIRECT("'SorP'!$A$"&amp;MATCH($S1488&amp;$J1488,SorP!C:C,0))))</f>
        <v>AT-6</v>
      </c>
      <c r="U1488" s="201"/>
      <c r="V1488" s="226">
        <f>IF(C1488="",NA(),IF(OR(C1488="Smelter not listed",C1488="Smelter not yet identified"),MATCH($B1488&amp;$D1488,'Smelter Look-up'!$J:$J,0),MATCH($B1488&amp;$C1488,'Smelter Look-up'!$J:$J,0)))</f>
        <v>655</v>
      </c>
      <c r="X1488" s="227">
        <f t="shared" si="210"/>
        <v>0</v>
      </c>
      <c r="AB1488" s="228" t="str">
        <f t="shared" si="211"/>
        <v>TungstenWolfram Bergbau und Hutten AG</v>
      </c>
    </row>
    <row r="1489" spans="1:28" s="227" customFormat="1" ht="81">
      <c r="A1489" s="301" t="s">
        <v>792</v>
      </c>
      <c r="B1489" s="293" t="s">
        <v>1122</v>
      </c>
      <c r="C1489" s="294" t="s">
        <v>2521</v>
      </c>
      <c r="D1489" s="295" t="s">
        <v>2521</v>
      </c>
      <c r="E1489" s="293" t="s">
        <v>1084</v>
      </c>
      <c r="F1489" s="293" t="s">
        <v>792</v>
      </c>
      <c r="G1489" s="293" t="s">
        <v>13217</v>
      </c>
      <c r="H1489" s="302" t="s">
        <v>15880</v>
      </c>
      <c r="I1489" s="297" t="s">
        <v>1814</v>
      </c>
      <c r="J1489" s="297" t="s">
        <v>2792</v>
      </c>
      <c r="K1489" s="298" t="s">
        <v>15855</v>
      </c>
      <c r="L1489" s="298" t="s">
        <v>15855</v>
      </c>
      <c r="M1489" s="298" t="s">
        <v>15855</v>
      </c>
      <c r="N1489" s="298" t="s">
        <v>15855</v>
      </c>
      <c r="O1489" s="298" t="s">
        <v>15855</v>
      </c>
      <c r="P1489" s="299" t="s">
        <v>15857</v>
      </c>
      <c r="Q1489" s="300" t="s">
        <v>15855</v>
      </c>
      <c r="R1489" s="182" t="str">
        <f ca="1">IF(ISERROR($V1489),"",OFFSET('Smelter Look-up'!$C$4,$V1489-4,0)&amp;"")</f>
        <v>Wolfram Bergbau und Hutten AG</v>
      </c>
      <c r="S1489" s="181" t="str">
        <f t="shared" ca="1" si="209"/>
        <v>AT</v>
      </c>
      <c r="T1489" s="181" t="str">
        <f ca="1">IF(B1489="","",IF(ISERROR(MATCH($J1489,SorP!$B$1:$B$6226,0)),"",INDIRECT("'SorP'!$A$"&amp;MATCH($S1489&amp;$J1489,SorP!C:C,0))))</f>
        <v>AT-6</v>
      </c>
      <c r="U1489" s="201"/>
      <c r="V1489" s="226">
        <f>IF(C1489="",NA(),IF(OR(C1489="Smelter not listed",C1489="Smelter not yet identified"),MATCH($B1489&amp;$D1489,'Smelter Look-up'!$J:$J,0),MATCH($B1489&amp;$C1489,'Smelter Look-up'!$J:$J,0)))</f>
        <v>655</v>
      </c>
      <c r="X1489" s="227">
        <f t="shared" si="210"/>
        <v>0</v>
      </c>
      <c r="AB1489" s="228" t="str">
        <f t="shared" si="211"/>
        <v>TungstenWolfram Bergbau und Hutten AG</v>
      </c>
    </row>
    <row r="1490" spans="1:28" s="227" customFormat="1" ht="67.5">
      <c r="A1490" s="301" t="s">
        <v>142</v>
      </c>
      <c r="B1490" s="293" t="s">
        <v>1122</v>
      </c>
      <c r="C1490" s="294" t="s">
        <v>152</v>
      </c>
      <c r="D1490" s="295" t="s">
        <v>152</v>
      </c>
      <c r="E1490" s="293" t="s">
        <v>1090</v>
      </c>
      <c r="F1490" s="293" t="s">
        <v>142</v>
      </c>
      <c r="G1490" s="293" t="s">
        <v>15855</v>
      </c>
      <c r="H1490" s="296" t="s">
        <v>15855</v>
      </c>
      <c r="I1490" s="297" t="s">
        <v>1817</v>
      </c>
      <c r="J1490" s="297" t="s">
        <v>13595</v>
      </c>
      <c r="K1490" s="298" t="s">
        <v>15855</v>
      </c>
      <c r="L1490" s="298" t="s">
        <v>15855</v>
      </c>
      <c r="M1490" s="298" t="s">
        <v>15855</v>
      </c>
      <c r="N1490" s="298" t="s">
        <v>15855</v>
      </c>
      <c r="O1490" s="298" t="s">
        <v>15855</v>
      </c>
      <c r="P1490" s="299" t="s">
        <v>15857</v>
      </c>
      <c r="Q1490" s="300" t="s">
        <v>15855</v>
      </c>
      <c r="R1490" s="182" t="str">
        <f ca="1">IF(ISERROR($V1490),"",OFFSET('Smelter Look-up'!$C$4,$V1490-4,0)&amp;"")</f>
        <v>Xiamen Tungsten (H.C.) Co., Ltd.</v>
      </c>
      <c r="S1490" s="181" t="str">
        <f t="shared" ca="1" si="209"/>
        <v>CN</v>
      </c>
      <c r="T1490" s="181" t="str">
        <f ca="1">IF(B1490="","",IF(ISERROR(MATCH($J1490,SorP!$B$1:$B$6226,0)),"",INDIRECT("'SorP'!$A$"&amp;MATCH($S1490&amp;$J1490,SorP!C:C,0))))</f>
        <v>CN-FJ</v>
      </c>
      <c r="U1490" s="201"/>
      <c r="V1490" s="226">
        <f>IF(C1490="",NA(),IF(OR(C1490="Smelter not listed",C1490="Smelter not yet identified"),MATCH($B1490&amp;$D1490,'Smelter Look-up'!$J:$J,0),MATCH($B1490&amp;$C1490,'Smelter Look-up'!$J:$J,0)))</f>
        <v>658</v>
      </c>
      <c r="X1490" s="227">
        <f t="shared" si="210"/>
        <v>0</v>
      </c>
      <c r="AB1490" s="228" t="str">
        <f t="shared" si="211"/>
        <v>TungstenXiamen Tungsten (H.C.) Co., Ltd.</v>
      </c>
    </row>
    <row r="1491" spans="1:28" s="227" customFormat="1" ht="67.5">
      <c r="A1491" s="301" t="s">
        <v>142</v>
      </c>
      <c r="B1491" s="293" t="s">
        <v>1122</v>
      </c>
      <c r="C1491" s="294" t="s">
        <v>152</v>
      </c>
      <c r="D1491" s="295" t="s">
        <v>152</v>
      </c>
      <c r="E1491" s="293" t="s">
        <v>1090</v>
      </c>
      <c r="F1491" s="293" t="s">
        <v>142</v>
      </c>
      <c r="G1491" s="293" t="s">
        <v>15855</v>
      </c>
      <c r="H1491" s="296" t="s">
        <v>15855</v>
      </c>
      <c r="I1491" s="297" t="s">
        <v>1817</v>
      </c>
      <c r="J1491" s="297" t="s">
        <v>13595</v>
      </c>
      <c r="K1491" s="298" t="s">
        <v>15855</v>
      </c>
      <c r="L1491" s="298" t="s">
        <v>15855</v>
      </c>
      <c r="M1491" s="298" t="s">
        <v>15855</v>
      </c>
      <c r="N1491" s="298" t="s">
        <v>15855</v>
      </c>
      <c r="O1491" s="298" t="s">
        <v>17103</v>
      </c>
      <c r="P1491" s="299" t="s">
        <v>15857</v>
      </c>
      <c r="Q1491" s="300" t="s">
        <v>15855</v>
      </c>
      <c r="R1491" s="182" t="str">
        <f ca="1">IF(ISERROR($V1491),"",OFFSET('Smelter Look-up'!$C$4,$V1491-4,0)&amp;"")</f>
        <v>Xiamen Tungsten (H.C.) Co., Ltd.</v>
      </c>
      <c r="S1491" s="181" t="str">
        <f t="shared" ca="1" si="209"/>
        <v>CN</v>
      </c>
      <c r="T1491" s="181" t="str">
        <f ca="1">IF(B1491="","",IF(ISERROR(MATCH($J1491,SorP!$B$1:$B$6226,0)),"",INDIRECT("'SorP'!$A$"&amp;MATCH($S1491&amp;$J1491,SorP!C:C,0))))</f>
        <v>CN-FJ</v>
      </c>
      <c r="U1491" s="201"/>
      <c r="V1491" s="226">
        <f>IF(C1491="",NA(),IF(OR(C1491="Smelter not listed",C1491="Smelter not yet identified"),MATCH($B1491&amp;$D1491,'Smelter Look-up'!$J:$J,0),MATCH($B1491&amp;$C1491,'Smelter Look-up'!$J:$J,0)))</f>
        <v>658</v>
      </c>
      <c r="X1491" s="227">
        <f t="shared" si="210"/>
        <v>0</v>
      </c>
      <c r="AB1491" s="228" t="str">
        <f t="shared" si="211"/>
        <v>TungstenXiamen Tungsten (H.C.) Co., Ltd.</v>
      </c>
    </row>
    <row r="1492" spans="1:28" s="227" customFormat="1" ht="67.5">
      <c r="A1492" s="301" t="s">
        <v>142</v>
      </c>
      <c r="B1492" s="293" t="s">
        <v>1122</v>
      </c>
      <c r="C1492" s="294" t="s">
        <v>152</v>
      </c>
      <c r="D1492" s="295" t="s">
        <v>152</v>
      </c>
      <c r="E1492" s="293" t="s">
        <v>1090</v>
      </c>
      <c r="F1492" s="293" t="s">
        <v>142</v>
      </c>
      <c r="G1492" s="293" t="s">
        <v>13217</v>
      </c>
      <c r="H1492" s="296" t="s">
        <v>15855</v>
      </c>
      <c r="I1492" s="297" t="s">
        <v>1817</v>
      </c>
      <c r="J1492" s="297" t="s">
        <v>13595</v>
      </c>
      <c r="K1492" s="298" t="s">
        <v>15855</v>
      </c>
      <c r="L1492" s="298" t="s">
        <v>15855</v>
      </c>
      <c r="M1492" s="298" t="s">
        <v>15855</v>
      </c>
      <c r="N1492" s="298" t="s">
        <v>15855</v>
      </c>
      <c r="O1492" s="298" t="s">
        <v>15855</v>
      </c>
      <c r="P1492" s="299" t="s">
        <v>15857</v>
      </c>
      <c r="Q1492" s="300" t="s">
        <v>15855</v>
      </c>
      <c r="R1492" s="182" t="str">
        <f ca="1">IF(ISERROR($V1492),"",OFFSET('Smelter Look-up'!$C$4,$V1492-4,0)&amp;"")</f>
        <v>Xiamen Tungsten (H.C.) Co., Ltd.</v>
      </c>
      <c r="S1492" s="181" t="str">
        <f t="shared" ca="1" si="209"/>
        <v>CN</v>
      </c>
      <c r="T1492" s="181" t="str">
        <f ca="1">IF(B1492="","",IF(ISERROR(MATCH($J1492,SorP!$B$1:$B$6226,0)),"",INDIRECT("'SorP'!$A$"&amp;MATCH($S1492&amp;$J1492,SorP!C:C,0))))</f>
        <v>CN-FJ</v>
      </c>
      <c r="U1492" s="201"/>
      <c r="V1492" s="226">
        <f>IF(C1492="",NA(),IF(OR(C1492="Smelter not listed",C1492="Smelter not yet identified"),MATCH($B1492&amp;$D1492,'Smelter Look-up'!$J:$J,0),MATCH($B1492&amp;$C1492,'Smelter Look-up'!$J:$J,0)))</f>
        <v>658</v>
      </c>
      <c r="X1492" s="227">
        <f t="shared" si="210"/>
        <v>0</v>
      </c>
      <c r="AB1492" s="228" t="str">
        <f t="shared" si="211"/>
        <v>TungstenXiamen Tungsten (H.C.) Co., Ltd.</v>
      </c>
    </row>
    <row r="1493" spans="1:28" s="227" customFormat="1" ht="67.5">
      <c r="A1493" s="301" t="s">
        <v>142</v>
      </c>
      <c r="B1493" s="293" t="s">
        <v>1122</v>
      </c>
      <c r="C1493" s="294" t="s">
        <v>152</v>
      </c>
      <c r="D1493" s="295" t="s">
        <v>152</v>
      </c>
      <c r="E1493" s="293" t="s">
        <v>1090</v>
      </c>
      <c r="F1493" s="293" t="s">
        <v>142</v>
      </c>
      <c r="G1493" s="293" t="s">
        <v>13217</v>
      </c>
      <c r="H1493" s="296" t="s">
        <v>15855</v>
      </c>
      <c r="I1493" s="297" t="s">
        <v>1817</v>
      </c>
      <c r="J1493" s="297" t="s">
        <v>13595</v>
      </c>
      <c r="K1493" s="298" t="s">
        <v>15855</v>
      </c>
      <c r="L1493" s="298" t="s">
        <v>15855</v>
      </c>
      <c r="M1493" s="298" t="s">
        <v>15855</v>
      </c>
      <c r="N1493" s="298" t="s">
        <v>15855</v>
      </c>
      <c r="O1493" s="298" t="s">
        <v>15855</v>
      </c>
      <c r="P1493" s="299" t="s">
        <v>15875</v>
      </c>
      <c r="Q1493" s="300" t="s">
        <v>15855</v>
      </c>
      <c r="R1493" s="182" t="str">
        <f ca="1">IF(ISERROR($V1493),"",OFFSET('Smelter Look-up'!$C$4,$V1493-4,0)&amp;"")</f>
        <v>Xiamen Tungsten (H.C.) Co., Ltd.</v>
      </c>
      <c r="S1493" s="181" t="str">
        <f t="shared" ca="1" si="209"/>
        <v>CN</v>
      </c>
      <c r="T1493" s="181" t="str">
        <f ca="1">IF(B1493="","",IF(ISERROR(MATCH($J1493,SorP!$B$1:$B$6226,0)),"",INDIRECT("'SorP'!$A$"&amp;MATCH($S1493&amp;$J1493,SorP!C:C,0))))</f>
        <v>CN-FJ</v>
      </c>
      <c r="U1493" s="201"/>
      <c r="V1493" s="226">
        <f>IF(C1493="",NA(),IF(OR(C1493="Smelter not listed",C1493="Smelter not yet identified"),MATCH($B1493&amp;$D1493,'Smelter Look-up'!$J:$J,0),MATCH($B1493&amp;$C1493,'Smelter Look-up'!$J:$J,0)))</f>
        <v>658</v>
      </c>
      <c r="X1493" s="227">
        <f t="shared" si="210"/>
        <v>0</v>
      </c>
      <c r="AB1493" s="228" t="str">
        <f t="shared" si="211"/>
        <v>TungstenXiamen Tungsten (H.C.) Co., Ltd.</v>
      </c>
    </row>
    <row r="1494" spans="1:28" s="227" customFormat="1" ht="67.5">
      <c r="A1494" s="301" t="s">
        <v>142</v>
      </c>
      <c r="B1494" s="293" t="s">
        <v>1122</v>
      </c>
      <c r="C1494" s="294" t="s">
        <v>152</v>
      </c>
      <c r="D1494" s="295" t="s">
        <v>152</v>
      </c>
      <c r="E1494" s="293" t="s">
        <v>1090</v>
      </c>
      <c r="F1494" s="293" t="s">
        <v>142</v>
      </c>
      <c r="G1494" s="293" t="s">
        <v>13217</v>
      </c>
      <c r="H1494" s="296" t="s">
        <v>15855</v>
      </c>
      <c r="I1494" s="297" t="s">
        <v>1817</v>
      </c>
      <c r="J1494" s="297" t="s">
        <v>13595</v>
      </c>
      <c r="K1494" s="298" t="s">
        <v>17068</v>
      </c>
      <c r="L1494" s="298" t="s">
        <v>17069</v>
      </c>
      <c r="M1494" s="298" t="s">
        <v>15892</v>
      </c>
      <c r="N1494" s="298" t="s">
        <v>17104</v>
      </c>
      <c r="O1494" s="298" t="s">
        <v>17105</v>
      </c>
      <c r="P1494" s="299" t="s">
        <v>15857</v>
      </c>
      <c r="Q1494" s="300" t="s">
        <v>15855</v>
      </c>
      <c r="R1494" s="182" t="str">
        <f ca="1">IF(ISERROR($V1494),"",OFFSET('Smelter Look-up'!$C$4,$V1494-4,0)&amp;"")</f>
        <v>Xiamen Tungsten (H.C.) Co., Ltd.</v>
      </c>
      <c r="S1494" s="181" t="str">
        <f t="shared" ca="1" si="209"/>
        <v>CN</v>
      </c>
      <c r="T1494" s="181" t="str">
        <f ca="1">IF(B1494="","",IF(ISERROR(MATCH($J1494,SorP!$B$1:$B$6226,0)),"",INDIRECT("'SorP'!$A$"&amp;MATCH($S1494&amp;$J1494,SorP!C:C,0))))</f>
        <v>CN-FJ</v>
      </c>
      <c r="U1494" s="201"/>
      <c r="V1494" s="226">
        <f>IF(C1494="",NA(),IF(OR(C1494="Smelter not listed",C1494="Smelter not yet identified"),MATCH($B1494&amp;$D1494,'Smelter Look-up'!$J:$J,0),MATCH($B1494&amp;$C1494,'Smelter Look-up'!$J:$J,0)))</f>
        <v>658</v>
      </c>
      <c r="X1494" s="227">
        <f t="shared" si="210"/>
        <v>0</v>
      </c>
      <c r="AB1494" s="228" t="str">
        <f t="shared" si="211"/>
        <v>TungstenXiamen Tungsten (H.C.) Co., Ltd.</v>
      </c>
    </row>
    <row r="1495" spans="1:28" s="227" customFormat="1" ht="67.5">
      <c r="A1495" s="301" t="s">
        <v>142</v>
      </c>
      <c r="B1495" s="293" t="s">
        <v>1122</v>
      </c>
      <c r="C1495" s="294" t="s">
        <v>152</v>
      </c>
      <c r="D1495" s="295" t="s">
        <v>152</v>
      </c>
      <c r="E1495" s="293" t="s">
        <v>1090</v>
      </c>
      <c r="F1495" s="293" t="s">
        <v>142</v>
      </c>
      <c r="G1495" s="293" t="s">
        <v>13217</v>
      </c>
      <c r="H1495" s="296" t="s">
        <v>15855</v>
      </c>
      <c r="I1495" s="297" t="s">
        <v>1817</v>
      </c>
      <c r="J1495" s="297" t="s">
        <v>13595</v>
      </c>
      <c r="K1495" s="298" t="s">
        <v>17106</v>
      </c>
      <c r="L1495" s="298" t="s">
        <v>17107</v>
      </c>
      <c r="M1495" s="298" t="s">
        <v>15855</v>
      </c>
      <c r="N1495" s="298" t="s">
        <v>17108</v>
      </c>
      <c r="O1495" s="298" t="s">
        <v>17109</v>
      </c>
      <c r="P1495" s="299" t="s">
        <v>15857</v>
      </c>
      <c r="Q1495" s="300" t="s">
        <v>15855</v>
      </c>
      <c r="R1495" s="182" t="str">
        <f ca="1">IF(ISERROR($V1495),"",OFFSET('Smelter Look-up'!$C$4,$V1495-4,0)&amp;"")</f>
        <v>Xiamen Tungsten (H.C.) Co., Ltd.</v>
      </c>
      <c r="S1495" s="181" t="str">
        <f t="shared" ca="1" si="209"/>
        <v>CN</v>
      </c>
      <c r="T1495" s="181" t="str">
        <f ca="1">IF(B1495="","",IF(ISERROR(MATCH($J1495,SorP!$B$1:$B$6226,0)),"",INDIRECT("'SorP'!$A$"&amp;MATCH($S1495&amp;$J1495,SorP!C:C,0))))</f>
        <v>CN-FJ</v>
      </c>
      <c r="U1495" s="201"/>
      <c r="V1495" s="226">
        <f>IF(C1495="",NA(),IF(OR(C1495="Smelter not listed",C1495="Smelter not yet identified"),MATCH($B1495&amp;$D1495,'Smelter Look-up'!$J:$J,0),MATCH($B1495&amp;$C1495,'Smelter Look-up'!$J:$J,0)))</f>
        <v>658</v>
      </c>
      <c r="X1495" s="227">
        <f t="shared" si="210"/>
        <v>0</v>
      </c>
      <c r="AB1495" s="228" t="str">
        <f t="shared" si="211"/>
        <v>TungstenXiamen Tungsten (H.C.) Co., Ltd.</v>
      </c>
    </row>
    <row r="1496" spans="1:28" s="227" customFormat="1" ht="67.5">
      <c r="A1496" s="301" t="s">
        <v>142</v>
      </c>
      <c r="B1496" s="293" t="s">
        <v>1122</v>
      </c>
      <c r="C1496" s="294" t="s">
        <v>152</v>
      </c>
      <c r="D1496" s="295" t="s">
        <v>152</v>
      </c>
      <c r="E1496" s="293" t="s">
        <v>1090</v>
      </c>
      <c r="F1496" s="293" t="s">
        <v>142</v>
      </c>
      <c r="G1496" s="293" t="s">
        <v>13217</v>
      </c>
      <c r="H1496" s="302" t="s">
        <v>15880</v>
      </c>
      <c r="I1496" s="297" t="s">
        <v>1817</v>
      </c>
      <c r="J1496" s="297" t="s">
        <v>13595</v>
      </c>
      <c r="K1496" s="298" t="s">
        <v>15855</v>
      </c>
      <c r="L1496" s="298" t="s">
        <v>15855</v>
      </c>
      <c r="M1496" s="298" t="s">
        <v>15855</v>
      </c>
      <c r="N1496" s="298" t="s">
        <v>15855</v>
      </c>
      <c r="O1496" s="298" t="s">
        <v>15855</v>
      </c>
      <c r="P1496" s="299" t="s">
        <v>15857</v>
      </c>
      <c r="Q1496" s="300" t="s">
        <v>15855</v>
      </c>
      <c r="R1496" s="182" t="str">
        <f ca="1">IF(ISERROR($V1496),"",OFFSET('Smelter Look-up'!$C$4,$V1496-4,0)&amp;"")</f>
        <v>Xiamen Tungsten (H.C.) Co., Ltd.</v>
      </c>
      <c r="S1496" s="181" t="str">
        <f t="shared" ca="1" si="209"/>
        <v>CN</v>
      </c>
      <c r="T1496" s="181" t="str">
        <f ca="1">IF(B1496="","",IF(ISERROR(MATCH($J1496,SorP!$B$1:$B$6226,0)),"",INDIRECT("'SorP'!$A$"&amp;MATCH($S1496&amp;$J1496,SorP!C:C,0))))</f>
        <v>CN-FJ</v>
      </c>
      <c r="U1496" s="201"/>
      <c r="V1496" s="226">
        <f>IF(C1496="",NA(),IF(OR(C1496="Smelter not listed",C1496="Smelter not yet identified"),MATCH($B1496&amp;$D1496,'Smelter Look-up'!$J:$J,0),MATCH($B1496&amp;$C1496,'Smelter Look-up'!$J:$J,0)))</f>
        <v>658</v>
      </c>
      <c r="X1496" s="227">
        <f t="shared" si="210"/>
        <v>0</v>
      </c>
      <c r="AB1496" s="228" t="str">
        <f t="shared" si="211"/>
        <v>TungstenXiamen Tungsten (H.C.) Co., Ltd.</v>
      </c>
    </row>
    <row r="1497" spans="1:28" s="227" customFormat="1" ht="67.5">
      <c r="A1497" s="301" t="s">
        <v>142</v>
      </c>
      <c r="B1497" s="293" t="s">
        <v>1122</v>
      </c>
      <c r="C1497" s="294" t="s">
        <v>152</v>
      </c>
      <c r="D1497" s="295" t="s">
        <v>152</v>
      </c>
      <c r="E1497" s="293" t="s">
        <v>1090</v>
      </c>
      <c r="F1497" s="293" t="s">
        <v>142</v>
      </c>
      <c r="G1497" s="293" t="s">
        <v>13217</v>
      </c>
      <c r="H1497" s="302" t="s">
        <v>15880</v>
      </c>
      <c r="I1497" s="297" t="s">
        <v>1817</v>
      </c>
      <c r="J1497" s="297" t="s">
        <v>13595</v>
      </c>
      <c r="K1497" s="298" t="s">
        <v>17106</v>
      </c>
      <c r="L1497" s="298" t="s">
        <v>17107</v>
      </c>
      <c r="M1497" s="298" t="s">
        <v>15855</v>
      </c>
      <c r="N1497" s="298" t="s">
        <v>15855</v>
      </c>
      <c r="O1497" s="298" t="s">
        <v>17110</v>
      </c>
      <c r="P1497" s="299" t="s">
        <v>15857</v>
      </c>
      <c r="Q1497" s="300" t="s">
        <v>15855</v>
      </c>
      <c r="R1497" s="182" t="str">
        <f ca="1">IF(ISERROR($V1497),"",OFFSET('Smelter Look-up'!$C$4,$V1497-4,0)&amp;"")</f>
        <v>Xiamen Tungsten (H.C.) Co., Ltd.</v>
      </c>
      <c r="S1497" s="181" t="str">
        <f t="shared" ca="1" si="209"/>
        <v>CN</v>
      </c>
      <c r="T1497" s="181" t="str">
        <f ca="1">IF(B1497="","",IF(ISERROR(MATCH($J1497,SorP!$B$1:$B$6226,0)),"",INDIRECT("'SorP'!$A$"&amp;MATCH($S1497&amp;$J1497,SorP!C:C,0))))</f>
        <v>CN-FJ</v>
      </c>
      <c r="U1497" s="201"/>
      <c r="V1497" s="226">
        <f>IF(C1497="",NA(),IF(OR(C1497="Smelter not listed",C1497="Smelter not yet identified"),MATCH($B1497&amp;$D1497,'Smelter Look-up'!$J:$J,0),MATCH($B1497&amp;$C1497,'Smelter Look-up'!$J:$J,0)))</f>
        <v>658</v>
      </c>
      <c r="X1497" s="227">
        <f t="shared" si="210"/>
        <v>0</v>
      </c>
      <c r="AB1497" s="228" t="str">
        <f t="shared" si="211"/>
        <v>TungstenXiamen Tungsten (H.C.) Co., Ltd.</v>
      </c>
    </row>
    <row r="1498" spans="1:28" s="227" customFormat="1" ht="54">
      <c r="A1498" s="301" t="s">
        <v>793</v>
      </c>
      <c r="B1498" s="293" t="s">
        <v>1122</v>
      </c>
      <c r="C1498" s="294" t="s">
        <v>1371</v>
      </c>
      <c r="D1498" s="295" t="s">
        <v>1371</v>
      </c>
      <c r="E1498" s="293" t="s">
        <v>1090</v>
      </c>
      <c r="F1498" s="293" t="s">
        <v>793</v>
      </c>
      <c r="G1498" s="293" t="s">
        <v>15855</v>
      </c>
      <c r="H1498" s="296" t="s">
        <v>15855</v>
      </c>
      <c r="I1498" s="297" t="s">
        <v>1817</v>
      </c>
      <c r="J1498" s="297" t="s">
        <v>13595</v>
      </c>
      <c r="K1498" s="298" t="s">
        <v>15855</v>
      </c>
      <c r="L1498" s="298" t="s">
        <v>15855</v>
      </c>
      <c r="M1498" s="298" t="s">
        <v>15855</v>
      </c>
      <c r="N1498" s="298" t="s">
        <v>15855</v>
      </c>
      <c r="O1498" s="298" t="s">
        <v>15855</v>
      </c>
      <c r="P1498" s="299" t="s">
        <v>15857</v>
      </c>
      <c r="Q1498" s="300" t="s">
        <v>15855</v>
      </c>
      <c r="R1498" s="182" t="str">
        <f ca="1">IF(ISERROR($V1498),"",OFFSET('Smelter Look-up'!$C$4,$V1498-4,0)&amp;"")</f>
        <v>Xiamen Tungsten Co., Ltd.</v>
      </c>
      <c r="S1498" s="181" t="str">
        <f t="shared" ca="1" si="209"/>
        <v>CN</v>
      </c>
      <c r="T1498" s="181" t="str">
        <f ca="1">IF(B1498="","",IF(ISERROR(MATCH($J1498,SorP!$B$1:$B$6226,0)),"",INDIRECT("'SorP'!$A$"&amp;MATCH($S1498&amp;$J1498,SorP!C:C,0))))</f>
        <v>CN-FJ</v>
      </c>
      <c r="U1498" s="201"/>
      <c r="V1498" s="226">
        <f>IF(C1498="",NA(),IF(OR(C1498="Smelter not listed",C1498="Smelter not yet identified"),MATCH($B1498&amp;$D1498,'Smelter Look-up'!$J:$J,0),MATCH($B1498&amp;$C1498,'Smelter Look-up'!$J:$J,0)))</f>
        <v>659</v>
      </c>
      <c r="X1498" s="227">
        <f t="shared" si="210"/>
        <v>0</v>
      </c>
      <c r="AB1498" s="228" t="str">
        <f t="shared" si="211"/>
        <v>TungstenXiamen Tungsten Co., Ltd.</v>
      </c>
    </row>
    <row r="1499" spans="1:28" s="227" customFormat="1" ht="54">
      <c r="A1499" s="301" t="s">
        <v>793</v>
      </c>
      <c r="B1499" s="293" t="s">
        <v>1122</v>
      </c>
      <c r="C1499" s="294" t="s">
        <v>1371</v>
      </c>
      <c r="D1499" s="295" t="s">
        <v>1371</v>
      </c>
      <c r="E1499" s="293" t="s">
        <v>1090</v>
      </c>
      <c r="F1499" s="293" t="s">
        <v>793</v>
      </c>
      <c r="G1499" s="293" t="s">
        <v>15855</v>
      </c>
      <c r="H1499" s="296" t="s">
        <v>15855</v>
      </c>
      <c r="I1499" s="297" t="s">
        <v>1817</v>
      </c>
      <c r="J1499" s="297" t="s">
        <v>13595</v>
      </c>
      <c r="K1499" s="298" t="s">
        <v>15855</v>
      </c>
      <c r="L1499" s="298" t="s">
        <v>15855</v>
      </c>
      <c r="M1499" s="298" t="s">
        <v>15855</v>
      </c>
      <c r="N1499" s="298" t="s">
        <v>15855</v>
      </c>
      <c r="O1499" s="298" t="s">
        <v>16125</v>
      </c>
      <c r="P1499" s="299" t="s">
        <v>15857</v>
      </c>
      <c r="Q1499" s="300" t="s">
        <v>15855</v>
      </c>
      <c r="R1499" s="182" t="str">
        <f ca="1">IF(ISERROR($V1499),"",OFFSET('Smelter Look-up'!$C$4,$V1499-4,0)&amp;"")</f>
        <v>Xiamen Tungsten Co., Ltd.</v>
      </c>
      <c r="S1499" s="181" t="str">
        <f t="shared" ca="1" si="209"/>
        <v>CN</v>
      </c>
      <c r="T1499" s="181" t="str">
        <f ca="1">IF(B1499="","",IF(ISERROR(MATCH($J1499,SorP!$B$1:$B$6226,0)),"",INDIRECT("'SorP'!$A$"&amp;MATCH($S1499&amp;$J1499,SorP!C:C,0))))</f>
        <v>CN-FJ</v>
      </c>
      <c r="U1499" s="201"/>
      <c r="V1499" s="226">
        <f>IF(C1499="",NA(),IF(OR(C1499="Smelter not listed",C1499="Smelter not yet identified"),MATCH($B1499&amp;$D1499,'Smelter Look-up'!$J:$J,0),MATCH($B1499&amp;$C1499,'Smelter Look-up'!$J:$J,0)))</f>
        <v>659</v>
      </c>
      <c r="X1499" s="227">
        <f t="shared" si="210"/>
        <v>0</v>
      </c>
      <c r="AB1499" s="228" t="str">
        <f t="shared" si="211"/>
        <v>TungstenXiamen Tungsten Co., Ltd.</v>
      </c>
    </row>
    <row r="1500" spans="1:28" s="227" customFormat="1" ht="54">
      <c r="A1500" s="301" t="s">
        <v>793</v>
      </c>
      <c r="B1500" s="293" t="s">
        <v>1122</v>
      </c>
      <c r="C1500" s="294" t="s">
        <v>1371</v>
      </c>
      <c r="D1500" s="295" t="s">
        <v>1371</v>
      </c>
      <c r="E1500" s="293" t="s">
        <v>1090</v>
      </c>
      <c r="F1500" s="293" t="s">
        <v>793</v>
      </c>
      <c r="G1500" s="293" t="s">
        <v>15865</v>
      </c>
      <c r="H1500" s="296" t="s">
        <v>15855</v>
      </c>
      <c r="I1500" s="297" t="s">
        <v>1817</v>
      </c>
      <c r="J1500" s="297" t="s">
        <v>17111</v>
      </c>
      <c r="K1500" s="298" t="s">
        <v>15855</v>
      </c>
      <c r="L1500" s="298" t="s">
        <v>15855</v>
      </c>
      <c r="M1500" s="298" t="s">
        <v>15855</v>
      </c>
      <c r="N1500" s="298" t="s">
        <v>15855</v>
      </c>
      <c r="O1500" s="298" t="s">
        <v>15855</v>
      </c>
      <c r="P1500" s="299" t="s">
        <v>15857</v>
      </c>
      <c r="Q1500" s="300" t="s">
        <v>15855</v>
      </c>
      <c r="R1500" s="182" t="str">
        <f ca="1">IF(ISERROR($V1500),"",OFFSET('Smelter Look-up'!$C$4,$V1500-4,0)&amp;"")</f>
        <v>Xiamen Tungsten Co., Ltd.</v>
      </c>
      <c r="S1500" s="181" t="str">
        <f t="shared" ref="S1500:S1530" ca="1" si="212">IF(B1500="","",IF(ISERROR(MATCH($E1500,CL,0)),"Unknown",INDIRECT("'C'!$A$"&amp;MATCH($E1500,CL,0)+1)))</f>
        <v>CN</v>
      </c>
      <c r="T1500" s="181" t="str">
        <f ca="1">IF(B1500="","",IF(ISERROR(MATCH($J1500,SorP!$B$1:$B$6226,0)),"",INDIRECT("'SorP'!$A$"&amp;MATCH($S1500&amp;$J1500,SorP!C:C,0))))</f>
        <v/>
      </c>
      <c r="U1500" s="201"/>
      <c r="V1500" s="226">
        <f>IF(C1500="",NA(),IF(OR(C1500="Smelter not listed",C1500="Smelter not yet identified"),MATCH($B1500&amp;$D1500,'Smelter Look-up'!$J:$J,0),MATCH($B1500&amp;$C1500,'Smelter Look-up'!$J:$J,0)))</f>
        <v>659</v>
      </c>
      <c r="X1500" s="227">
        <f t="shared" ref="X1500:X1530" si="213">IF(AND(C1500="Smelter not listed",OR(LEN(D1500)=0,LEN(E1500)=0)),1,0)</f>
        <v>0</v>
      </c>
      <c r="AB1500" s="228" t="str">
        <f t="shared" ref="AB1500:AB1530" si="214">B1500&amp;C1500</f>
        <v>TungstenXiamen Tungsten Co., Ltd.</v>
      </c>
    </row>
    <row r="1501" spans="1:28" s="227" customFormat="1" ht="54">
      <c r="A1501" s="301" t="s">
        <v>793</v>
      </c>
      <c r="B1501" s="293" t="s">
        <v>1122</v>
      </c>
      <c r="C1501" s="294" t="s">
        <v>1371</v>
      </c>
      <c r="D1501" s="295" t="s">
        <v>1371</v>
      </c>
      <c r="E1501" s="293" t="s">
        <v>1090</v>
      </c>
      <c r="F1501" s="293" t="s">
        <v>793</v>
      </c>
      <c r="G1501" s="293" t="s">
        <v>13217</v>
      </c>
      <c r="H1501" s="296" t="s">
        <v>15855</v>
      </c>
      <c r="I1501" s="297" t="s">
        <v>1817</v>
      </c>
      <c r="J1501" s="297" t="s">
        <v>13595</v>
      </c>
      <c r="K1501" s="298" t="s">
        <v>15855</v>
      </c>
      <c r="L1501" s="298" t="s">
        <v>15855</v>
      </c>
      <c r="M1501" s="298" t="s">
        <v>15855</v>
      </c>
      <c r="N1501" s="298" t="s">
        <v>15855</v>
      </c>
      <c r="O1501" s="298" t="s">
        <v>15855</v>
      </c>
      <c r="P1501" s="299" t="s">
        <v>15857</v>
      </c>
      <c r="Q1501" s="300" t="s">
        <v>15855</v>
      </c>
      <c r="R1501" s="182" t="str">
        <f ca="1">IF(ISERROR($V1501),"",OFFSET('Smelter Look-up'!$C$4,$V1501-4,0)&amp;"")</f>
        <v>Xiamen Tungsten Co., Ltd.</v>
      </c>
      <c r="S1501" s="181" t="str">
        <f t="shared" ca="1" si="212"/>
        <v>CN</v>
      </c>
      <c r="T1501" s="181" t="str">
        <f ca="1">IF(B1501="","",IF(ISERROR(MATCH($J1501,SorP!$B$1:$B$6226,0)),"",INDIRECT("'SorP'!$A$"&amp;MATCH($S1501&amp;$J1501,SorP!C:C,0))))</f>
        <v>CN-FJ</v>
      </c>
      <c r="U1501" s="201"/>
      <c r="V1501" s="226">
        <f>IF(C1501="",NA(),IF(OR(C1501="Smelter not listed",C1501="Smelter not yet identified"),MATCH($B1501&amp;$D1501,'Smelter Look-up'!$J:$J,0),MATCH($B1501&amp;$C1501,'Smelter Look-up'!$J:$J,0)))</f>
        <v>659</v>
      </c>
      <c r="X1501" s="227">
        <f t="shared" si="213"/>
        <v>0</v>
      </c>
      <c r="AB1501" s="228" t="str">
        <f t="shared" si="214"/>
        <v>TungstenXiamen Tungsten Co., Ltd.</v>
      </c>
    </row>
    <row r="1502" spans="1:28" s="227" customFormat="1" ht="54">
      <c r="A1502" s="301" t="s">
        <v>793</v>
      </c>
      <c r="B1502" s="293" t="s">
        <v>1122</v>
      </c>
      <c r="C1502" s="294" t="s">
        <v>1371</v>
      </c>
      <c r="D1502" s="295" t="s">
        <v>1371</v>
      </c>
      <c r="E1502" s="293" t="s">
        <v>1090</v>
      </c>
      <c r="F1502" s="293" t="s">
        <v>793</v>
      </c>
      <c r="G1502" s="293" t="s">
        <v>13217</v>
      </c>
      <c r="H1502" s="296" t="s">
        <v>15855</v>
      </c>
      <c r="I1502" s="297" t="s">
        <v>1817</v>
      </c>
      <c r="J1502" s="297" t="s">
        <v>13595</v>
      </c>
      <c r="K1502" s="298" t="s">
        <v>15855</v>
      </c>
      <c r="L1502" s="298" t="s">
        <v>15855</v>
      </c>
      <c r="M1502" s="298" t="s">
        <v>15855</v>
      </c>
      <c r="N1502" s="298" t="s">
        <v>15855</v>
      </c>
      <c r="O1502" s="298" t="s">
        <v>15855</v>
      </c>
      <c r="P1502" s="299" t="s">
        <v>15857</v>
      </c>
      <c r="Q1502" s="300" t="s">
        <v>16531</v>
      </c>
      <c r="R1502" s="182" t="str">
        <f ca="1">IF(ISERROR($V1502),"",OFFSET('Smelter Look-up'!$C$4,$V1502-4,0)&amp;"")</f>
        <v>Xiamen Tungsten Co., Ltd.</v>
      </c>
      <c r="S1502" s="181" t="str">
        <f t="shared" ca="1" si="212"/>
        <v>CN</v>
      </c>
      <c r="T1502" s="181" t="str">
        <f ca="1">IF(B1502="","",IF(ISERROR(MATCH($J1502,SorP!$B$1:$B$6226,0)),"",INDIRECT("'SorP'!$A$"&amp;MATCH($S1502&amp;$J1502,SorP!C:C,0))))</f>
        <v>CN-FJ</v>
      </c>
      <c r="U1502" s="201"/>
      <c r="V1502" s="226">
        <f>IF(C1502="",NA(),IF(OR(C1502="Smelter not listed",C1502="Smelter not yet identified"),MATCH($B1502&amp;$D1502,'Smelter Look-up'!$J:$J,0),MATCH($B1502&amp;$C1502,'Smelter Look-up'!$J:$J,0)))</f>
        <v>659</v>
      </c>
      <c r="X1502" s="227">
        <f t="shared" si="213"/>
        <v>0</v>
      </c>
      <c r="AB1502" s="228" t="str">
        <f t="shared" si="214"/>
        <v>TungstenXiamen Tungsten Co., Ltd.</v>
      </c>
    </row>
    <row r="1503" spans="1:28" s="227" customFormat="1" ht="54">
      <c r="A1503" s="301" t="s">
        <v>793</v>
      </c>
      <c r="B1503" s="293" t="s">
        <v>1122</v>
      </c>
      <c r="C1503" s="294" t="s">
        <v>1371</v>
      </c>
      <c r="D1503" s="295" t="s">
        <v>1371</v>
      </c>
      <c r="E1503" s="293" t="s">
        <v>1090</v>
      </c>
      <c r="F1503" s="293" t="s">
        <v>793</v>
      </c>
      <c r="G1503" s="293" t="s">
        <v>13217</v>
      </c>
      <c r="H1503" s="296" t="s">
        <v>15855</v>
      </c>
      <c r="I1503" s="297" t="s">
        <v>1817</v>
      </c>
      <c r="J1503" s="297" t="s">
        <v>13595</v>
      </c>
      <c r="K1503" s="298" t="s">
        <v>17068</v>
      </c>
      <c r="L1503" s="298" t="s">
        <v>17069</v>
      </c>
      <c r="M1503" s="298" t="s">
        <v>17112</v>
      </c>
      <c r="N1503" s="298" t="s">
        <v>17113</v>
      </c>
      <c r="O1503" s="298" t="s">
        <v>17114</v>
      </c>
      <c r="P1503" s="299" t="s">
        <v>15857</v>
      </c>
      <c r="Q1503" s="300" t="s">
        <v>15855</v>
      </c>
      <c r="R1503" s="182" t="str">
        <f ca="1">IF(ISERROR($V1503),"",OFFSET('Smelter Look-up'!$C$4,$V1503-4,0)&amp;"")</f>
        <v>Xiamen Tungsten Co., Ltd.</v>
      </c>
      <c r="S1503" s="181" t="str">
        <f t="shared" ca="1" si="212"/>
        <v>CN</v>
      </c>
      <c r="T1503" s="181" t="str">
        <f ca="1">IF(B1503="","",IF(ISERROR(MATCH($J1503,SorP!$B$1:$B$6226,0)),"",INDIRECT("'SorP'!$A$"&amp;MATCH($S1503&amp;$J1503,SorP!C:C,0))))</f>
        <v>CN-FJ</v>
      </c>
      <c r="U1503" s="201"/>
      <c r="V1503" s="226">
        <f>IF(C1503="",NA(),IF(OR(C1503="Smelter not listed",C1503="Smelter not yet identified"),MATCH($B1503&amp;$D1503,'Smelter Look-up'!$J:$J,0),MATCH($B1503&amp;$C1503,'Smelter Look-up'!$J:$J,0)))</f>
        <v>659</v>
      </c>
      <c r="X1503" s="227">
        <f t="shared" si="213"/>
        <v>0</v>
      </c>
      <c r="AB1503" s="228" t="str">
        <f t="shared" si="214"/>
        <v>TungstenXiamen Tungsten Co., Ltd.</v>
      </c>
    </row>
    <row r="1504" spans="1:28" s="227" customFormat="1" ht="67.5">
      <c r="A1504" s="301" t="s">
        <v>793</v>
      </c>
      <c r="B1504" s="293" t="s">
        <v>1122</v>
      </c>
      <c r="C1504" s="294" t="s">
        <v>1371</v>
      </c>
      <c r="D1504" s="295" t="s">
        <v>1371</v>
      </c>
      <c r="E1504" s="293" t="s">
        <v>1090</v>
      </c>
      <c r="F1504" s="293" t="s">
        <v>793</v>
      </c>
      <c r="G1504" s="293" t="s">
        <v>13217</v>
      </c>
      <c r="H1504" s="296" t="s">
        <v>15855</v>
      </c>
      <c r="I1504" s="297" t="s">
        <v>1817</v>
      </c>
      <c r="J1504" s="297" t="s">
        <v>13595</v>
      </c>
      <c r="K1504" s="298" t="s">
        <v>17106</v>
      </c>
      <c r="L1504" s="298" t="s">
        <v>17107</v>
      </c>
      <c r="M1504" s="298" t="s">
        <v>15855</v>
      </c>
      <c r="N1504" s="298" t="s">
        <v>17115</v>
      </c>
      <c r="O1504" s="298" t="s">
        <v>17116</v>
      </c>
      <c r="P1504" s="299" t="s">
        <v>15857</v>
      </c>
      <c r="Q1504" s="300" t="s">
        <v>15855</v>
      </c>
      <c r="R1504" s="182" t="str">
        <f ca="1">IF(ISERROR($V1504),"",OFFSET('Smelter Look-up'!$C$4,$V1504-4,0)&amp;"")</f>
        <v>Xiamen Tungsten Co., Ltd.</v>
      </c>
      <c r="S1504" s="181" t="str">
        <f t="shared" ca="1" si="212"/>
        <v>CN</v>
      </c>
      <c r="T1504" s="181" t="str">
        <f ca="1">IF(B1504="","",IF(ISERROR(MATCH($J1504,SorP!$B$1:$B$6226,0)),"",INDIRECT("'SorP'!$A$"&amp;MATCH($S1504&amp;$J1504,SorP!C:C,0))))</f>
        <v>CN-FJ</v>
      </c>
      <c r="U1504" s="201"/>
      <c r="V1504" s="226">
        <f>IF(C1504="",NA(),IF(OR(C1504="Smelter not listed",C1504="Smelter not yet identified"),MATCH($B1504&amp;$D1504,'Smelter Look-up'!$J:$J,0),MATCH($B1504&amp;$C1504,'Smelter Look-up'!$J:$J,0)))</f>
        <v>659</v>
      </c>
      <c r="X1504" s="227">
        <f t="shared" si="213"/>
        <v>0</v>
      </c>
      <c r="AB1504" s="228" t="str">
        <f t="shared" si="214"/>
        <v>TungstenXiamen Tungsten Co., Ltd.</v>
      </c>
    </row>
    <row r="1505" spans="1:28" s="227" customFormat="1" ht="54">
      <c r="A1505" s="301" t="s">
        <v>793</v>
      </c>
      <c r="B1505" s="293" t="s">
        <v>1122</v>
      </c>
      <c r="C1505" s="294" t="s">
        <v>1371</v>
      </c>
      <c r="D1505" s="295" t="s">
        <v>1371</v>
      </c>
      <c r="E1505" s="293" t="s">
        <v>1090</v>
      </c>
      <c r="F1505" s="293" t="s">
        <v>793</v>
      </c>
      <c r="G1505" s="293" t="s">
        <v>13217</v>
      </c>
      <c r="H1505" s="302" t="s">
        <v>15880</v>
      </c>
      <c r="I1505" s="297" t="s">
        <v>1817</v>
      </c>
      <c r="J1505" s="297" t="s">
        <v>17111</v>
      </c>
      <c r="K1505" s="298" t="s">
        <v>15855</v>
      </c>
      <c r="L1505" s="298" t="s">
        <v>15855</v>
      </c>
      <c r="M1505" s="298" t="s">
        <v>15855</v>
      </c>
      <c r="N1505" s="298" t="s">
        <v>15855</v>
      </c>
      <c r="O1505" s="298" t="s">
        <v>15855</v>
      </c>
      <c r="P1505" s="299" t="s">
        <v>15857</v>
      </c>
      <c r="Q1505" s="300" t="s">
        <v>15855</v>
      </c>
      <c r="R1505" s="182" t="str">
        <f ca="1">IF(ISERROR($V1505),"",OFFSET('Smelter Look-up'!$C$4,$V1505-4,0)&amp;"")</f>
        <v>Xiamen Tungsten Co., Ltd.</v>
      </c>
      <c r="S1505" s="181" t="str">
        <f t="shared" ca="1" si="212"/>
        <v>CN</v>
      </c>
      <c r="T1505" s="181" t="str">
        <f ca="1">IF(B1505="","",IF(ISERROR(MATCH($J1505,SorP!$B$1:$B$6226,0)),"",INDIRECT("'SorP'!$A$"&amp;MATCH($S1505&amp;$J1505,SorP!C:C,0))))</f>
        <v/>
      </c>
      <c r="U1505" s="201"/>
      <c r="V1505" s="226">
        <f>IF(C1505="",NA(),IF(OR(C1505="Smelter not listed",C1505="Smelter not yet identified"),MATCH($B1505&amp;$D1505,'Smelter Look-up'!$J:$J,0),MATCH($B1505&amp;$C1505,'Smelter Look-up'!$J:$J,0)))</f>
        <v>659</v>
      </c>
      <c r="X1505" s="227">
        <f t="shared" si="213"/>
        <v>0</v>
      </c>
      <c r="AB1505" s="228" t="str">
        <f t="shared" si="214"/>
        <v>TungstenXiamen Tungsten Co., Ltd.</v>
      </c>
    </row>
    <row r="1506" spans="1:28" s="227" customFormat="1" ht="54">
      <c r="A1506" s="301" t="s">
        <v>793</v>
      </c>
      <c r="B1506" s="293" t="s">
        <v>1122</v>
      </c>
      <c r="C1506" s="294" t="s">
        <v>1371</v>
      </c>
      <c r="D1506" s="295" t="s">
        <v>1371</v>
      </c>
      <c r="E1506" s="293" t="s">
        <v>1090</v>
      </c>
      <c r="F1506" s="293" t="s">
        <v>793</v>
      </c>
      <c r="G1506" s="293" t="s">
        <v>13217</v>
      </c>
      <c r="H1506" s="302" t="s">
        <v>15880</v>
      </c>
      <c r="I1506" s="297" t="s">
        <v>1817</v>
      </c>
      <c r="J1506" s="297" t="s">
        <v>13595</v>
      </c>
      <c r="K1506" s="298" t="s">
        <v>15855</v>
      </c>
      <c r="L1506" s="298" t="s">
        <v>15855</v>
      </c>
      <c r="M1506" s="298" t="s">
        <v>15855</v>
      </c>
      <c r="N1506" s="298" t="s">
        <v>15855</v>
      </c>
      <c r="O1506" s="298" t="s">
        <v>15855</v>
      </c>
      <c r="P1506" s="299" t="s">
        <v>15857</v>
      </c>
      <c r="Q1506" s="300" t="s">
        <v>15855</v>
      </c>
      <c r="R1506" s="182" t="str">
        <f ca="1">IF(ISERROR($V1506),"",OFFSET('Smelter Look-up'!$C$4,$V1506-4,0)&amp;"")</f>
        <v>Xiamen Tungsten Co., Ltd.</v>
      </c>
      <c r="S1506" s="181" t="str">
        <f t="shared" ca="1" si="212"/>
        <v>CN</v>
      </c>
      <c r="T1506" s="181" t="str">
        <f ca="1">IF(B1506="","",IF(ISERROR(MATCH($J1506,SorP!$B$1:$B$6226,0)),"",INDIRECT("'SorP'!$A$"&amp;MATCH($S1506&amp;$J1506,SorP!C:C,0))))</f>
        <v>CN-FJ</v>
      </c>
      <c r="U1506" s="201"/>
      <c r="V1506" s="226">
        <f>IF(C1506="",NA(),IF(OR(C1506="Smelter not listed",C1506="Smelter not yet identified"),MATCH($B1506&amp;$D1506,'Smelter Look-up'!$J:$J,0),MATCH($B1506&amp;$C1506,'Smelter Look-up'!$J:$J,0)))</f>
        <v>659</v>
      </c>
      <c r="X1506" s="227">
        <f t="shared" si="213"/>
        <v>0</v>
      </c>
      <c r="AB1506" s="228" t="str">
        <f t="shared" si="214"/>
        <v>TungstenXiamen Tungsten Co., Ltd.</v>
      </c>
    </row>
    <row r="1507" spans="1:28" s="227" customFormat="1" ht="54">
      <c r="A1507" s="301" t="s">
        <v>793</v>
      </c>
      <c r="B1507" s="293" t="s">
        <v>1122</v>
      </c>
      <c r="C1507" s="294" t="s">
        <v>1371</v>
      </c>
      <c r="D1507" s="295" t="s">
        <v>1371</v>
      </c>
      <c r="E1507" s="293" t="s">
        <v>1090</v>
      </c>
      <c r="F1507" s="293" t="s">
        <v>793</v>
      </c>
      <c r="G1507" s="293" t="s">
        <v>13217</v>
      </c>
      <c r="H1507" s="296" t="s">
        <v>17117</v>
      </c>
      <c r="I1507" s="297" t="s">
        <v>1817</v>
      </c>
      <c r="J1507" s="297" t="s">
        <v>13595</v>
      </c>
      <c r="K1507" s="298" t="s">
        <v>17118</v>
      </c>
      <c r="L1507" s="298" t="s">
        <v>17119</v>
      </c>
      <c r="M1507" s="298" t="s">
        <v>17010</v>
      </c>
      <c r="N1507" s="298" t="s">
        <v>17120</v>
      </c>
      <c r="O1507" s="298" t="s">
        <v>1090</v>
      </c>
      <c r="P1507" s="299" t="s">
        <v>15857</v>
      </c>
      <c r="Q1507" s="300" t="s">
        <v>17012</v>
      </c>
      <c r="R1507" s="182" t="str">
        <f ca="1">IF(ISERROR($V1507),"",OFFSET('Smelter Look-up'!$C$4,$V1507-4,0)&amp;"")</f>
        <v>Xiamen Tungsten Co., Ltd.</v>
      </c>
      <c r="S1507" s="181" t="str">
        <f t="shared" ca="1" si="212"/>
        <v>CN</v>
      </c>
      <c r="T1507" s="181" t="str">
        <f ca="1">IF(B1507="","",IF(ISERROR(MATCH($J1507,SorP!$B$1:$B$6226,0)),"",INDIRECT("'SorP'!$A$"&amp;MATCH($S1507&amp;$J1507,SorP!C:C,0))))</f>
        <v>CN-FJ</v>
      </c>
      <c r="U1507" s="201"/>
      <c r="V1507" s="226">
        <f>IF(C1507="",NA(),IF(OR(C1507="Smelter not listed",C1507="Smelter not yet identified"),MATCH($B1507&amp;$D1507,'Smelter Look-up'!$J:$J,0),MATCH($B1507&amp;$C1507,'Smelter Look-up'!$J:$J,0)))</f>
        <v>659</v>
      </c>
      <c r="X1507" s="227">
        <f t="shared" si="213"/>
        <v>0</v>
      </c>
      <c r="AB1507" s="228" t="str">
        <f t="shared" si="214"/>
        <v>TungstenXiamen Tungsten Co., Ltd.</v>
      </c>
    </row>
    <row r="1508" spans="1:28" s="227" customFormat="1" ht="54">
      <c r="A1508" s="301" t="s">
        <v>793</v>
      </c>
      <c r="B1508" s="293" t="s">
        <v>1122</v>
      </c>
      <c r="C1508" s="294" t="s">
        <v>1371</v>
      </c>
      <c r="D1508" s="295" t="s">
        <v>1371</v>
      </c>
      <c r="E1508" s="293" t="s">
        <v>1090</v>
      </c>
      <c r="F1508" s="293" t="s">
        <v>793</v>
      </c>
      <c r="G1508" s="293" t="s">
        <v>13217</v>
      </c>
      <c r="H1508" s="296" t="s">
        <v>17121</v>
      </c>
      <c r="I1508" s="297" t="s">
        <v>1817</v>
      </c>
      <c r="J1508" s="297" t="s">
        <v>13595</v>
      </c>
      <c r="K1508" s="298" t="s">
        <v>17122</v>
      </c>
      <c r="L1508" s="298" t="s">
        <v>17123</v>
      </c>
      <c r="M1508" s="298" t="s">
        <v>15855</v>
      </c>
      <c r="N1508" s="298" t="s">
        <v>17124</v>
      </c>
      <c r="O1508" s="298" t="s">
        <v>1090</v>
      </c>
      <c r="P1508" s="299" t="s">
        <v>15857</v>
      </c>
      <c r="Q1508" s="300" t="s">
        <v>15855</v>
      </c>
      <c r="R1508" s="182" t="str">
        <f ca="1">IF(ISERROR($V1508),"",OFFSET('Smelter Look-up'!$C$4,$V1508-4,0)&amp;"")</f>
        <v>Xiamen Tungsten Co., Ltd.</v>
      </c>
      <c r="S1508" s="181" t="str">
        <f t="shared" ca="1" si="212"/>
        <v>CN</v>
      </c>
      <c r="T1508" s="181" t="str">
        <f ca="1">IF(B1508="","",IF(ISERROR(MATCH($J1508,SorP!$B$1:$B$6226,0)),"",INDIRECT("'SorP'!$A$"&amp;MATCH($S1508&amp;$J1508,SorP!C:C,0))))</f>
        <v>CN-FJ</v>
      </c>
      <c r="U1508" s="201"/>
      <c r="V1508" s="226">
        <f>IF(C1508="",NA(),IF(OR(C1508="Smelter not listed",C1508="Smelter not yet identified"),MATCH($B1508&amp;$D1508,'Smelter Look-up'!$J:$J,0),MATCH($B1508&amp;$C1508,'Smelter Look-up'!$J:$J,0)))</f>
        <v>659</v>
      </c>
      <c r="X1508" s="227">
        <f t="shared" si="213"/>
        <v>0</v>
      </c>
      <c r="AB1508" s="228" t="str">
        <f t="shared" si="214"/>
        <v>TungstenXiamen Tungsten Co., Ltd.</v>
      </c>
    </row>
    <row r="1509" spans="1:28" s="227" customFormat="1" ht="135">
      <c r="A1509" s="301" t="s">
        <v>17125</v>
      </c>
      <c r="B1509" s="293" t="s">
        <v>1122</v>
      </c>
      <c r="C1509" s="294" t="s">
        <v>17126</v>
      </c>
      <c r="D1509" s="295" t="s">
        <v>17126</v>
      </c>
      <c r="E1509" s="293" t="s">
        <v>1090</v>
      </c>
      <c r="F1509" s="293" t="s">
        <v>17125</v>
      </c>
      <c r="G1509" s="293" t="s">
        <v>13217</v>
      </c>
      <c r="H1509" s="296" t="s">
        <v>15855</v>
      </c>
      <c r="I1509" s="297" t="s">
        <v>1759</v>
      </c>
      <c r="J1509" s="297" t="s">
        <v>13596</v>
      </c>
      <c r="K1509" s="298" t="s">
        <v>15855</v>
      </c>
      <c r="L1509" s="298" t="s">
        <v>15855</v>
      </c>
      <c r="M1509" s="298" t="s">
        <v>15855</v>
      </c>
      <c r="N1509" s="298" t="s">
        <v>15855</v>
      </c>
      <c r="O1509" s="298" t="s">
        <v>15855</v>
      </c>
      <c r="P1509" s="299" t="s">
        <v>15857</v>
      </c>
      <c r="Q1509" s="300" t="s">
        <v>15855</v>
      </c>
      <c r="R1509" s="182" t="str">
        <f ca="1">IF(ISERROR($V1509),"",OFFSET('Smelter Look-up'!$C$4,$V1509-4,0)&amp;"")</f>
        <v/>
      </c>
      <c r="S1509" s="181" t="str">
        <f t="shared" ca="1" si="212"/>
        <v>CN</v>
      </c>
      <c r="T1509" s="181" t="str">
        <f ca="1">IF(B1509="","",IF(ISERROR(MATCH($J1509,SorP!$B$1:$B$6226,0)),"",INDIRECT("'SorP'!$A$"&amp;MATCH($S1509&amp;$J1509,SorP!C:C,0))))</f>
        <v>CN-JX</v>
      </c>
      <c r="U1509" s="201"/>
      <c r="V1509" s="226" t="e">
        <f>IF(C1509="",NA(),IF(OR(C1509="Smelter not listed",C1509="Smelter not yet identified"),MATCH($B1509&amp;$D1509,'Smelter Look-up'!$J:$J,0),MATCH($B1509&amp;$C1509,'Smelter Look-up'!$J:$J,0)))</f>
        <v>#N/A</v>
      </c>
      <c r="X1509" s="227">
        <f t="shared" si="213"/>
        <v>0</v>
      </c>
      <c r="AB1509" s="228" t="str">
        <f t="shared" si="214"/>
        <v>TungstenXinfeng Huarui Tungsten &amp; Molybdenum New Material Co., Ltd.</v>
      </c>
    </row>
    <row r="1510" spans="1:28" s="227" customFormat="1" ht="135">
      <c r="A1510" s="301" t="s">
        <v>17125</v>
      </c>
      <c r="B1510" s="293" t="s">
        <v>1122</v>
      </c>
      <c r="C1510" s="294" t="s">
        <v>17126</v>
      </c>
      <c r="D1510" s="295" t="s">
        <v>17126</v>
      </c>
      <c r="E1510" s="293" t="s">
        <v>1090</v>
      </c>
      <c r="F1510" s="293" t="s">
        <v>17125</v>
      </c>
      <c r="G1510" s="293" t="s">
        <v>13217</v>
      </c>
      <c r="H1510" s="296" t="s">
        <v>15855</v>
      </c>
      <c r="I1510" s="297" t="s">
        <v>1759</v>
      </c>
      <c r="J1510" s="297" t="s">
        <v>13596</v>
      </c>
      <c r="K1510" s="298" t="s">
        <v>17127</v>
      </c>
      <c r="L1510" s="298" t="s">
        <v>17128</v>
      </c>
      <c r="M1510" s="298" t="s">
        <v>17129</v>
      </c>
      <c r="N1510" s="298" t="s">
        <v>15862</v>
      </c>
      <c r="O1510" s="298" t="s">
        <v>17022</v>
      </c>
      <c r="P1510" s="299" t="s">
        <v>15857</v>
      </c>
      <c r="Q1510" s="300" t="s">
        <v>15855</v>
      </c>
      <c r="R1510" s="182" t="str">
        <f ca="1">IF(ISERROR($V1510),"",OFFSET('Smelter Look-up'!$C$4,$V1510-4,0)&amp;"")</f>
        <v/>
      </c>
      <c r="S1510" s="181" t="str">
        <f t="shared" ca="1" si="212"/>
        <v>CN</v>
      </c>
      <c r="T1510" s="181" t="str">
        <f ca="1">IF(B1510="","",IF(ISERROR(MATCH($J1510,SorP!$B$1:$B$6226,0)),"",INDIRECT("'SorP'!$A$"&amp;MATCH($S1510&amp;$J1510,SorP!C:C,0))))</f>
        <v>CN-JX</v>
      </c>
      <c r="U1510" s="201"/>
      <c r="V1510" s="226" t="e">
        <f>IF(C1510="",NA(),IF(OR(C1510="Smelter not listed",C1510="Smelter not yet identified"),MATCH($B1510&amp;$D1510,'Smelter Look-up'!$J:$J,0),MATCH($B1510&amp;$C1510,'Smelter Look-up'!$J:$J,0)))</f>
        <v>#N/A</v>
      </c>
      <c r="X1510" s="227">
        <f t="shared" si="213"/>
        <v>0</v>
      </c>
      <c r="AB1510" s="228" t="str">
        <f t="shared" si="214"/>
        <v>TungstenXinfeng Huarui Tungsten &amp; Molybdenum New Material Co., Ltd.</v>
      </c>
    </row>
    <row r="1511" spans="1:28" s="227" customFormat="1" ht="94.5">
      <c r="A1511" s="301" t="s">
        <v>17130</v>
      </c>
      <c r="B1511" s="293" t="s">
        <v>1122</v>
      </c>
      <c r="C1511" s="294" t="s">
        <v>17131</v>
      </c>
      <c r="D1511" s="295" t="s">
        <v>17131</v>
      </c>
      <c r="E1511" s="293" t="s">
        <v>1090</v>
      </c>
      <c r="F1511" s="293" t="s">
        <v>17130</v>
      </c>
      <c r="G1511" s="293" t="s">
        <v>13217</v>
      </c>
      <c r="H1511" s="296" t="s">
        <v>15855</v>
      </c>
      <c r="I1511" s="297" t="s">
        <v>17132</v>
      </c>
      <c r="J1511" s="297" t="s">
        <v>13601</v>
      </c>
      <c r="K1511" s="298" t="s">
        <v>15855</v>
      </c>
      <c r="L1511" s="298" t="s">
        <v>15855</v>
      </c>
      <c r="M1511" s="298" t="s">
        <v>15855</v>
      </c>
      <c r="N1511" s="298" t="s">
        <v>15855</v>
      </c>
      <c r="O1511" s="298" t="s">
        <v>15855</v>
      </c>
      <c r="P1511" s="299" t="s">
        <v>15857</v>
      </c>
      <c r="Q1511" s="300" t="s">
        <v>15855</v>
      </c>
      <c r="R1511" s="182" t="str">
        <f ca="1">IF(ISERROR($V1511),"",OFFSET('Smelter Look-up'!$C$4,$V1511-4,0)&amp;"")</f>
        <v/>
      </c>
      <c r="S1511" s="181" t="str">
        <f t="shared" ca="1" si="212"/>
        <v>CN</v>
      </c>
      <c r="T1511" s="181" t="str">
        <f ca="1">IF(B1511="","",IF(ISERROR(MATCH($J1511,SorP!$B$1:$B$6226,0)),"",INDIRECT("'SorP'!$A$"&amp;MATCH($S1511&amp;$J1511,SorP!C:C,0))))</f>
        <v>CN-GD</v>
      </c>
      <c r="U1511" s="201"/>
      <c r="V1511" s="226" t="e">
        <f>IF(C1511="",NA(),IF(OR(C1511="Smelter not listed",C1511="Smelter not yet identified"),MATCH($B1511&amp;$D1511,'Smelter Look-up'!$J:$J,0),MATCH($B1511&amp;$C1511,'Smelter Look-up'!$J:$J,0)))</f>
        <v>#N/A</v>
      </c>
      <c r="X1511" s="227">
        <f t="shared" si="213"/>
        <v>0</v>
      </c>
      <c r="AB1511" s="228" t="str">
        <f t="shared" si="214"/>
        <v>TungstenXinhai Rendan Shaoguan Tungsten Co., Ltd.</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5" t="str">
        <f>IF(LEN(A2504)=0,"",INDEX('Smelter Look-up'!$A:$A,MATCH($A2504,'Smelter Look-up'!$E:$E,0)))</f>
        <v/>
      </c>
      <c r="C2504" s="186" t="str">
        <f>IF(LEN(A2504)=0,"",INDEX('Smelter Look-up'!$C:$C,MATCH($A2504,'Smelter Look-up'!$E:$E,0)))</f>
        <v/>
      </c>
      <c r="D2504" s="288"/>
      <c r="E2504" s="285" t="str">
        <f ca="1">IF(ISERROR($V2504),"",OFFSET('Smelter Look-up'!$D$4,$V2504-4,0)&amp;"")</f>
        <v/>
      </c>
      <c r="F2504" s="285" t="str">
        <f ca="1">IF(ISERROR($V2504),"",OFFSET('Smelter Look-up'!$E$4,$V2504-4,0))</f>
        <v/>
      </c>
      <c r="G2504" s="285" t="str">
        <f ca="1">IF(C2504=$X$4,IF(ISERROR($V2504),"Enter smelter details","RMI"),IF(ISERROR($V2504),"",OFFSET('Smelter Look-up'!$F$4,$V2504-4,0)))</f>
        <v/>
      </c>
      <c r="H2504" s="289" t="str">
        <f ca="1">IF(ISERROR($V2504),"",OFFSET('Smelter Look-up'!$G$4,$V2504-4,0))</f>
        <v/>
      </c>
      <c r="I2504" s="290" t="str">
        <f ca="1">IF(ISERROR($V2504),"",OFFSET('Smelter Look-up'!$H$4,$V2504-4,0))</f>
        <v/>
      </c>
      <c r="J2504" s="291" t="str">
        <f ca="1">IF(ISERROR($V2504),"",OFFSET('Smelter Look-up'!$I$4,$V2504-4,0))</f>
        <v/>
      </c>
      <c r="K2504" s="224"/>
      <c r="L2504" s="224"/>
      <c r="M2504" s="224"/>
      <c r="N2504" s="224"/>
      <c r="O2504" s="224"/>
      <c r="P2504" s="287"/>
      <c r="Q2504" s="284"/>
      <c r="R2504" s="286" t="str">
        <f ca="1">IF(ISERROR($V2504),"",OFFSET('Smelter Look-up'!$C$4,$V2504-4,0)&amp;"")</f>
        <v/>
      </c>
      <c r="S2504" s="283"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sheet="1" formatCells="0" formatColumns="0" formatRows="0" insertColumns="0" insertRows="0" insertHyperlinks="0" deleteColumns="0" deleteRows="0" sort="0" autoFilter="0" pivotTables="0"/>
  <autoFilter ref="A4:Q4" xr:uid="{00000000-0009-0000-0000-000004000000}"/>
  <customSheetViews>
    <customSheetView guid="{51531B83-BDD7-4890-A744-04812A317369}" scale="55" outlineSymbols="0" zeroValues="0" fitToPage="1" showAutoFilter="1" hiddenColumns="1" topLeftCell="A2">
      <pane ySplit="3" topLeftCell="A5" activePane="bottomLeft" state="frozen"/>
      <selection pane="bottomLeft" activeCell="D5" sqref="D5"/>
      <autoFilter ref="A4:AM4" xr:uid="{00000000-0000-0000-0000-000000000000}"/>
    </customSheetView>
  </customSheetViews>
  <mergeCells count="3">
    <mergeCell ref="J2:O2"/>
    <mergeCell ref="B3:E3"/>
    <mergeCell ref="G3:I3"/>
  </mergeCells>
  <phoneticPr fontId="83" type="noConversion"/>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1" display="http://www.responsiblemineralsinitiative.org/conformant-smelter-refiner-lists/" xr:uid="{00000000-0004-0000-0400-000000000000}"/>
  </hyperlinks>
  <pageMargins left="0.70866141732283505" right="0.70866141732283505" top="0.74803149606299202" bottom="0.74803149606299202" header="0.31496062992126" footer="0.31496062992126"/>
  <pageSetup scale="43" fitToWidth="2" fitToHeight="100" orientation="landscape" r:id="rId2"/>
  <headerFooter>
    <oddHeader>&amp;C&amp;P ページ</oddHead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402" t="str">
        <f ca="1">OFFSET(L!$C$1,MATCH("Checker"&amp;ADDRESS(ROW(),COLUMN(),4),L!$A:$A,0)-1,SL,,)</f>
        <v>To ensure all required fields have been populated before submitting to your customers review form for any line items highlighted in red</v>
      </c>
      <c r="B1" s="402"/>
      <c r="C1" s="40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TSC Auto ID Technology Co., Ltd.</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t="str">
        <f>Declaration!D10</f>
        <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Winson Lin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winson_lin@tscprinters.com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2" t="str">
        <f>Declaration!D17</f>
        <v>+886-3-9906677 Ext.5419</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Melson Lai</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melson_lai@tscprinters.com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45755</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Tantalum  (*)</v>
      </c>
      <c r="B34" s="89" t="str">
        <f>IF(AND($B$14="Yes",$B$19="Yes"),Declaration!D50,0)</f>
        <v>Unknown</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Unknown</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Unknown</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Unknown</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Tantalum  (*)</v>
      </c>
      <c r="B39" s="267" t="str">
        <f>IF(AND($B$14="Yes",$B$19="Yes"),Declaration!D56,0)</f>
        <v>Greater than 90%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7" t="str">
        <f>IF(AND($B$15="Yes",$B$20="Yes"),Declaration!D57,0)</f>
        <v>Greater than 75%</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7" t="str">
        <f>IF(AND($B$16="Yes",$B$21="Yes"),Declaration!D58,0)</f>
        <v>Greater than 75%</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7" t="str">
        <f>IF(AND($B$17="Yes",$B$22="Yes"),Declaration!D59,0)</f>
        <v>Greater than 90%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https://apac.tscprinters.com/en/responsible-minerals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sheet="1" objects="1" scenarios="1" formatCells="0" formatColumns="0" formatRows="0" insertColumns="0" insertRows="0" insertHyperlinks="0" deleteColumns="0" deleteRows="0" sort="0" autoFilter="0" pivotTables="0"/>
  <customSheetViews>
    <customSheetView guid="{51531B83-BDD7-4890-A744-04812A317369}" scale="70" outlineSymbols="0" zeroValues="0" fitToPage="1" hiddenRows="1" hiddenColumns="1">
      <pane xSplit="1" ySplit="3" topLeftCell="B4" activePane="bottomRight" state="frozen"/>
      <selection pane="bottomRight" activeCell="A4" sqref="A4"/>
    </customSheetView>
  </customSheetViews>
  <mergeCells count="1">
    <mergeCell ref="A1:C1"/>
  </mergeCells>
  <phoneticPr fontId="83"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505" right="0.70866141732283505" top="0.74803149606299202" bottom="0.74803149606299202" header="0.31496062992126" footer="0.31496062992126"/>
  <pageSetup scale="36"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6" customWidth="1"/>
    <col min="2" max="2" width="39.84375" style="279" customWidth="1"/>
    <col min="3" max="3" width="39.84375" style="276" customWidth="1"/>
    <col min="4" max="4" width="58.84375" style="276" customWidth="1"/>
    <col min="5" max="5" width="1.61328125" style="276" customWidth="1"/>
    <col min="6" max="6" width="9" style="276" customWidth="1"/>
    <col min="7" max="16384" width="8.84375" style="277"/>
  </cols>
  <sheetData>
    <row r="1" spans="1:6" s="21" customFormat="1" ht="35.15" customHeight="1" thickTop="1">
      <c r="A1" s="404" t="str">
        <f ca="1">OFFSET(L!$C$1,MATCH("Product List"&amp;ADDRESS(ROW(),COLUMN(),4),L!$A:$A,0)-1,SL,,)</f>
        <v>Completion required only if reporting level "Product (or List of Products)" selected on the 'Declaration' worksheet.</v>
      </c>
      <c r="B1" s="405"/>
      <c r="C1" s="405"/>
      <c r="D1" s="40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403" t="s">
        <v>888</v>
      </c>
      <c r="C4" s="403"/>
      <c r="D4" s="40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3"/>
      <c r="C6" s="98"/>
      <c r="D6" s="98"/>
      <c r="E6" s="275"/>
    </row>
    <row r="7" spans="1:6" ht="15">
      <c r="A7" s="129"/>
      <c r="B7" s="273"/>
      <c r="C7" s="98"/>
      <c r="D7" s="98"/>
      <c r="E7" s="275"/>
    </row>
    <row r="8" spans="1:6" ht="15">
      <c r="A8" s="129"/>
      <c r="B8" s="273"/>
      <c r="C8" s="98"/>
      <c r="D8" s="98"/>
      <c r="E8" s="275"/>
    </row>
    <row r="9" spans="1:6" ht="15">
      <c r="A9" s="129"/>
      <c r="B9" s="273"/>
      <c r="C9" s="98"/>
      <c r="D9" s="98"/>
      <c r="E9" s="275"/>
    </row>
    <row r="10" spans="1:6" ht="15">
      <c r="A10" s="129"/>
      <c r="B10" s="273"/>
      <c r="C10" s="98"/>
      <c r="D10" s="98"/>
      <c r="E10" s="275"/>
    </row>
    <row r="11" spans="1:6" ht="15">
      <c r="A11" s="129"/>
      <c r="B11" s="273"/>
      <c r="C11" s="98"/>
      <c r="D11" s="98"/>
      <c r="E11" s="275"/>
    </row>
    <row r="12" spans="1:6" ht="15">
      <c r="A12" s="129"/>
      <c r="B12" s="273"/>
      <c r="C12" s="98"/>
      <c r="D12" s="98"/>
      <c r="E12" s="275"/>
    </row>
    <row r="13" spans="1:6" ht="15">
      <c r="A13" s="129"/>
      <c r="B13" s="273"/>
      <c r="C13" s="98"/>
      <c r="D13" s="98"/>
      <c r="E13" s="275"/>
    </row>
    <row r="14" spans="1:6" ht="15">
      <c r="A14" s="129"/>
      <c r="B14" s="273"/>
      <c r="C14" s="98"/>
      <c r="D14" s="98"/>
      <c r="E14" s="275"/>
    </row>
    <row r="15" spans="1:6" ht="15">
      <c r="A15" s="129"/>
      <c r="B15" s="273"/>
      <c r="C15" s="98"/>
      <c r="D15" s="98"/>
      <c r="E15" s="275"/>
    </row>
    <row r="16" spans="1:6" ht="15">
      <c r="A16" s="129"/>
      <c r="B16" s="273"/>
      <c r="C16" s="98"/>
      <c r="D16" s="98"/>
      <c r="E16" s="275"/>
    </row>
    <row r="17" spans="1:5" ht="15">
      <c r="A17" s="129"/>
      <c r="B17" s="273"/>
      <c r="C17" s="98"/>
      <c r="D17" s="98"/>
      <c r="E17" s="275"/>
    </row>
    <row r="18" spans="1:5" ht="15">
      <c r="A18" s="129"/>
      <c r="B18" s="273"/>
      <c r="C18" s="98"/>
      <c r="D18" s="98"/>
      <c r="E18" s="275"/>
    </row>
    <row r="19" spans="1:5" ht="15">
      <c r="A19" s="129"/>
      <c r="B19" s="273"/>
      <c r="C19" s="98"/>
      <c r="D19" s="98"/>
      <c r="E19" s="275"/>
    </row>
    <row r="20" spans="1:5" ht="15">
      <c r="A20" s="129"/>
      <c r="B20" s="273"/>
      <c r="C20" s="98"/>
      <c r="D20" s="98"/>
      <c r="E20" s="275"/>
    </row>
    <row r="21" spans="1:5" ht="15">
      <c r="A21" s="129"/>
      <c r="B21" s="273"/>
      <c r="C21" s="98"/>
      <c r="D21" s="98"/>
      <c r="E21" s="275"/>
    </row>
    <row r="22" spans="1:5" ht="15">
      <c r="A22" s="129"/>
      <c r="B22" s="273"/>
      <c r="C22" s="98"/>
      <c r="D22" s="98"/>
      <c r="E22" s="275"/>
    </row>
    <row r="23" spans="1:5" ht="15">
      <c r="A23" s="129"/>
      <c r="B23" s="273"/>
      <c r="C23" s="98"/>
      <c r="D23" s="98"/>
      <c r="E23" s="275"/>
    </row>
    <row r="24" spans="1:5" ht="15">
      <c r="A24" s="129"/>
      <c r="B24" s="273"/>
      <c r="C24" s="98"/>
      <c r="D24" s="98"/>
      <c r="E24" s="275"/>
    </row>
    <row r="25" spans="1:5" ht="15">
      <c r="A25" s="129"/>
      <c r="B25" s="273"/>
      <c r="C25" s="98"/>
      <c r="D25" s="98"/>
      <c r="E25" s="275"/>
    </row>
    <row r="26" spans="1:5" ht="15">
      <c r="A26" s="129"/>
      <c r="B26" s="273"/>
      <c r="C26" s="98"/>
      <c r="D26" s="98"/>
      <c r="E26" s="275"/>
    </row>
    <row r="27" spans="1:5" ht="15">
      <c r="A27" s="129"/>
      <c r="B27" s="273"/>
      <c r="C27" s="98"/>
      <c r="D27" s="98"/>
      <c r="E27" s="275"/>
    </row>
    <row r="28" spans="1:5" ht="15">
      <c r="A28" s="129"/>
      <c r="B28" s="273"/>
      <c r="C28" s="98"/>
      <c r="D28" s="98"/>
      <c r="E28" s="275"/>
    </row>
    <row r="29" spans="1:5" ht="15">
      <c r="A29" s="129"/>
      <c r="B29" s="273"/>
      <c r="C29" s="98"/>
      <c r="D29" s="98"/>
      <c r="E29" s="275"/>
    </row>
    <row r="30" spans="1:5" ht="15">
      <c r="A30" s="129"/>
      <c r="B30" s="273"/>
      <c r="C30" s="98"/>
      <c r="D30" s="98"/>
      <c r="E30" s="275"/>
    </row>
    <row r="31" spans="1:5" ht="15">
      <c r="A31" s="129"/>
      <c r="B31" s="273"/>
      <c r="C31" s="98"/>
      <c r="D31" s="98"/>
      <c r="E31" s="275"/>
    </row>
    <row r="32" spans="1:5" ht="15">
      <c r="A32" s="129"/>
      <c r="B32" s="273"/>
      <c r="C32" s="98"/>
      <c r="D32" s="98"/>
      <c r="E32" s="275"/>
    </row>
    <row r="33" spans="1:5" ht="15">
      <c r="A33" s="129"/>
      <c r="B33" s="273"/>
      <c r="C33" s="98"/>
      <c r="D33" s="98"/>
      <c r="E33" s="275"/>
    </row>
    <row r="34" spans="1:5" ht="15">
      <c r="A34" s="129"/>
      <c r="B34" s="273"/>
      <c r="C34" s="98"/>
      <c r="D34" s="98"/>
      <c r="E34" s="275"/>
    </row>
    <row r="35" spans="1:5" ht="15">
      <c r="A35" s="129"/>
      <c r="B35" s="273"/>
      <c r="C35" s="98"/>
      <c r="D35" s="98"/>
      <c r="E35" s="275"/>
    </row>
    <row r="36" spans="1:5" ht="15">
      <c r="A36" s="129"/>
      <c r="B36" s="273"/>
      <c r="C36" s="98"/>
      <c r="D36" s="98"/>
      <c r="E36" s="275"/>
    </row>
    <row r="37" spans="1:5" ht="15">
      <c r="A37" s="129"/>
      <c r="B37" s="273"/>
      <c r="C37" s="98"/>
      <c r="D37" s="98"/>
      <c r="E37" s="275"/>
    </row>
    <row r="38" spans="1:5" ht="15">
      <c r="A38" s="129"/>
      <c r="B38" s="273"/>
      <c r="C38" s="98"/>
      <c r="D38" s="98"/>
      <c r="E38" s="275"/>
    </row>
    <row r="39" spans="1:5" ht="15">
      <c r="A39" s="129"/>
      <c r="B39" s="273"/>
      <c r="C39" s="98"/>
      <c r="D39" s="98"/>
      <c r="E39" s="275"/>
    </row>
    <row r="40" spans="1:5" ht="15">
      <c r="A40" s="129"/>
      <c r="B40" s="273"/>
      <c r="C40" s="98"/>
      <c r="D40" s="98"/>
      <c r="E40" s="275"/>
    </row>
    <row r="41" spans="1:5" ht="15">
      <c r="A41" s="129"/>
      <c r="B41" s="273"/>
      <c r="C41" s="98"/>
      <c r="D41" s="98"/>
      <c r="E41" s="275"/>
    </row>
    <row r="42" spans="1:5" ht="15">
      <c r="A42" s="129"/>
      <c r="B42" s="273"/>
      <c r="C42" s="98"/>
      <c r="D42" s="98"/>
      <c r="E42" s="275"/>
    </row>
    <row r="43" spans="1:5" ht="15">
      <c r="A43" s="129"/>
      <c r="B43" s="273"/>
      <c r="C43" s="98"/>
      <c r="D43" s="98"/>
      <c r="E43" s="275"/>
    </row>
    <row r="44" spans="1:5" ht="15">
      <c r="A44" s="129"/>
      <c r="B44" s="273"/>
      <c r="C44" s="98"/>
      <c r="D44" s="98"/>
      <c r="E44" s="275"/>
    </row>
    <row r="45" spans="1:5" ht="15">
      <c r="A45" s="129"/>
      <c r="B45" s="273"/>
      <c r="C45" s="98"/>
      <c r="D45" s="98"/>
      <c r="E45" s="275"/>
    </row>
    <row r="46" spans="1:5" ht="15">
      <c r="A46" s="129"/>
      <c r="B46" s="273"/>
      <c r="C46" s="98"/>
      <c r="D46" s="98"/>
      <c r="E46" s="275"/>
    </row>
    <row r="47" spans="1:5" ht="15">
      <c r="A47" s="129"/>
      <c r="B47" s="273"/>
      <c r="C47" s="98"/>
      <c r="D47" s="98"/>
      <c r="E47" s="275"/>
    </row>
    <row r="48" spans="1:5" ht="15">
      <c r="A48" s="129"/>
      <c r="B48" s="273"/>
      <c r="C48" s="98"/>
      <c r="D48" s="98"/>
      <c r="E48" s="275"/>
    </row>
    <row r="49" spans="1:5" ht="15">
      <c r="A49" s="129"/>
      <c r="B49" s="273"/>
      <c r="C49" s="98"/>
      <c r="D49" s="98"/>
      <c r="E49" s="275"/>
    </row>
    <row r="50" spans="1:5" ht="15">
      <c r="A50" s="129"/>
      <c r="B50" s="273"/>
      <c r="C50" s="98"/>
      <c r="D50" s="98"/>
      <c r="E50" s="275"/>
    </row>
    <row r="51" spans="1:5" ht="15">
      <c r="A51" s="129"/>
      <c r="B51" s="273"/>
      <c r="C51" s="98"/>
      <c r="D51" s="98"/>
      <c r="E51" s="275"/>
    </row>
    <row r="52" spans="1:5" ht="15">
      <c r="A52" s="129"/>
      <c r="B52" s="273"/>
      <c r="C52" s="98"/>
      <c r="D52" s="98"/>
      <c r="E52" s="275"/>
    </row>
    <row r="53" spans="1:5" ht="15">
      <c r="A53" s="129"/>
      <c r="B53" s="273"/>
      <c r="C53" s="98"/>
      <c r="D53" s="98"/>
      <c r="E53" s="275"/>
    </row>
    <row r="54" spans="1:5" ht="15">
      <c r="A54" s="129"/>
      <c r="B54" s="273"/>
      <c r="C54" s="98"/>
      <c r="D54" s="98"/>
      <c r="E54" s="275"/>
    </row>
    <row r="55" spans="1:5" ht="15">
      <c r="A55" s="129"/>
      <c r="B55" s="273"/>
      <c r="C55" s="98"/>
      <c r="D55" s="98"/>
      <c r="E55" s="275"/>
    </row>
    <row r="56" spans="1:5" ht="15">
      <c r="A56" s="129"/>
      <c r="B56" s="273"/>
      <c r="C56" s="98"/>
      <c r="D56" s="98"/>
      <c r="E56" s="275"/>
    </row>
    <row r="57" spans="1:5" ht="15">
      <c r="A57" s="129"/>
      <c r="B57" s="273"/>
      <c r="C57" s="98"/>
      <c r="D57" s="98"/>
      <c r="E57" s="275"/>
    </row>
    <row r="58" spans="1:5" ht="15">
      <c r="A58" s="129"/>
      <c r="B58" s="273"/>
      <c r="C58" s="98"/>
      <c r="D58" s="98"/>
      <c r="E58" s="275"/>
    </row>
    <row r="59" spans="1:5" ht="15">
      <c r="A59" s="129"/>
      <c r="B59" s="273"/>
      <c r="C59" s="98"/>
      <c r="D59" s="98"/>
      <c r="E59" s="275"/>
    </row>
    <row r="60" spans="1:5" ht="15">
      <c r="A60" s="129"/>
      <c r="B60" s="273"/>
      <c r="C60" s="98"/>
      <c r="D60" s="98"/>
      <c r="E60" s="275"/>
    </row>
    <row r="61" spans="1:5" ht="15">
      <c r="A61" s="129"/>
      <c r="B61" s="273"/>
      <c r="C61" s="98"/>
      <c r="D61" s="98"/>
      <c r="E61" s="275"/>
    </row>
    <row r="62" spans="1:5" ht="15">
      <c r="A62" s="129"/>
      <c r="B62" s="273"/>
      <c r="C62" s="98"/>
      <c r="D62" s="98"/>
      <c r="E62" s="275"/>
    </row>
    <row r="63" spans="1:5" ht="15">
      <c r="A63" s="129"/>
      <c r="B63" s="273"/>
      <c r="C63" s="98"/>
      <c r="D63" s="98"/>
      <c r="E63" s="275"/>
    </row>
    <row r="64" spans="1:5" ht="15">
      <c r="A64" s="129"/>
      <c r="B64" s="273"/>
      <c r="C64" s="98"/>
      <c r="D64" s="98"/>
      <c r="E64" s="275"/>
    </row>
    <row r="65" spans="1:5" ht="15">
      <c r="A65" s="129"/>
      <c r="B65" s="273"/>
      <c r="C65" s="98"/>
      <c r="D65" s="98"/>
      <c r="E65" s="275"/>
    </row>
    <row r="66" spans="1:5" ht="15">
      <c r="A66" s="129"/>
      <c r="B66" s="273"/>
      <c r="C66" s="98"/>
      <c r="D66" s="98"/>
      <c r="E66" s="275"/>
    </row>
    <row r="67" spans="1:5" ht="15">
      <c r="A67" s="129"/>
      <c r="B67" s="273"/>
      <c r="C67" s="98"/>
      <c r="D67" s="98"/>
      <c r="E67" s="275"/>
    </row>
    <row r="68" spans="1:5" ht="15">
      <c r="A68" s="129"/>
      <c r="B68" s="273"/>
      <c r="C68" s="98"/>
      <c r="D68" s="98"/>
      <c r="E68" s="275"/>
    </row>
    <row r="69" spans="1:5" ht="15">
      <c r="A69" s="129"/>
      <c r="B69" s="273"/>
      <c r="C69" s="98"/>
      <c r="D69" s="98"/>
      <c r="E69" s="275"/>
    </row>
    <row r="70" spans="1:5" ht="15">
      <c r="A70" s="129"/>
      <c r="B70" s="273"/>
      <c r="C70" s="98"/>
      <c r="D70" s="98"/>
      <c r="E70" s="275"/>
    </row>
    <row r="71" spans="1:5" ht="15">
      <c r="A71" s="129"/>
      <c r="B71" s="273"/>
      <c r="C71" s="98"/>
      <c r="D71" s="98"/>
      <c r="E71" s="275"/>
    </row>
    <row r="72" spans="1:5" ht="15">
      <c r="A72" s="129"/>
      <c r="B72" s="273"/>
      <c r="C72" s="98"/>
      <c r="D72" s="98"/>
      <c r="E72" s="275"/>
    </row>
    <row r="73" spans="1:5" ht="15">
      <c r="A73" s="129"/>
      <c r="B73" s="273"/>
      <c r="C73" s="98"/>
      <c r="D73" s="98"/>
      <c r="E73" s="275"/>
    </row>
    <row r="74" spans="1:5" ht="15">
      <c r="A74" s="129"/>
      <c r="B74" s="273"/>
      <c r="C74" s="98"/>
      <c r="D74" s="98"/>
      <c r="E74" s="275"/>
    </row>
    <row r="75" spans="1:5" ht="15">
      <c r="A75" s="129"/>
      <c r="B75" s="273"/>
      <c r="C75" s="98"/>
      <c r="D75" s="98"/>
      <c r="E75" s="275"/>
    </row>
    <row r="76" spans="1:5" ht="15">
      <c r="A76" s="129"/>
      <c r="B76" s="273"/>
      <c r="C76" s="98"/>
      <c r="D76" s="98"/>
      <c r="E76" s="275"/>
    </row>
    <row r="77" spans="1:5" ht="15">
      <c r="A77" s="129"/>
      <c r="B77" s="273"/>
      <c r="C77" s="98"/>
      <c r="D77" s="98"/>
      <c r="E77" s="275"/>
    </row>
    <row r="78" spans="1:5" ht="15">
      <c r="A78" s="129"/>
      <c r="B78" s="273"/>
      <c r="C78" s="98"/>
      <c r="D78" s="98"/>
      <c r="E78" s="275"/>
    </row>
    <row r="79" spans="1:5" ht="15">
      <c r="A79" s="129"/>
      <c r="B79" s="273"/>
      <c r="C79" s="98"/>
      <c r="D79" s="98"/>
      <c r="E79" s="275"/>
    </row>
    <row r="80" spans="1:5" ht="15">
      <c r="A80" s="129"/>
      <c r="B80" s="273"/>
      <c r="C80" s="98"/>
      <c r="D80" s="98"/>
      <c r="E80" s="275"/>
    </row>
    <row r="81" spans="1:5" ht="15">
      <c r="A81" s="129"/>
      <c r="B81" s="273"/>
      <c r="C81" s="98"/>
      <c r="D81" s="98"/>
      <c r="E81" s="275"/>
    </row>
    <row r="82" spans="1:5" ht="15">
      <c r="A82" s="129"/>
      <c r="B82" s="273"/>
      <c r="C82" s="98"/>
      <c r="D82" s="98"/>
      <c r="E82" s="275"/>
    </row>
    <row r="83" spans="1:5" ht="15">
      <c r="A83" s="129"/>
      <c r="B83" s="273"/>
      <c r="C83" s="98"/>
      <c r="D83" s="98"/>
      <c r="E83" s="275"/>
    </row>
    <row r="84" spans="1:5" ht="15">
      <c r="A84" s="129"/>
      <c r="B84" s="273"/>
      <c r="C84" s="98"/>
      <c r="D84" s="98"/>
      <c r="E84" s="275"/>
    </row>
    <row r="85" spans="1:5" ht="15">
      <c r="A85" s="129"/>
      <c r="B85" s="273"/>
      <c r="C85" s="98"/>
      <c r="D85" s="98"/>
      <c r="E85" s="275"/>
    </row>
    <row r="86" spans="1:5" ht="15">
      <c r="A86" s="129"/>
      <c r="B86" s="273"/>
      <c r="C86" s="98"/>
      <c r="D86" s="98"/>
      <c r="E86" s="275"/>
    </row>
    <row r="87" spans="1:5" ht="15">
      <c r="A87" s="129"/>
      <c r="B87" s="273"/>
      <c r="C87" s="98"/>
      <c r="D87" s="98"/>
      <c r="E87" s="275"/>
    </row>
    <row r="88" spans="1:5" ht="15">
      <c r="A88" s="129"/>
      <c r="B88" s="273"/>
      <c r="C88" s="98"/>
      <c r="D88" s="98"/>
      <c r="E88" s="275"/>
    </row>
    <row r="89" spans="1:5" ht="15">
      <c r="A89" s="129"/>
      <c r="B89" s="273"/>
      <c r="C89" s="98"/>
      <c r="D89" s="98"/>
      <c r="E89" s="275"/>
    </row>
    <row r="90" spans="1:5" ht="15">
      <c r="A90" s="129"/>
      <c r="B90" s="273"/>
      <c r="C90" s="98"/>
      <c r="D90" s="98"/>
      <c r="E90" s="275"/>
    </row>
    <row r="91" spans="1:5" ht="15">
      <c r="A91" s="129"/>
      <c r="B91" s="273"/>
      <c r="C91" s="98"/>
      <c r="D91" s="98"/>
      <c r="E91" s="275"/>
    </row>
    <row r="92" spans="1:5" ht="15">
      <c r="A92" s="129"/>
      <c r="B92" s="273"/>
      <c r="C92" s="98"/>
      <c r="D92" s="98"/>
      <c r="E92" s="275"/>
    </row>
    <row r="93" spans="1:5" ht="15">
      <c r="A93" s="129"/>
      <c r="B93" s="273"/>
      <c r="C93" s="98"/>
      <c r="D93" s="98"/>
      <c r="E93" s="275"/>
    </row>
    <row r="94" spans="1:5" ht="15">
      <c r="A94" s="129"/>
      <c r="B94" s="273"/>
      <c r="C94" s="98"/>
      <c r="D94" s="98"/>
      <c r="E94" s="275"/>
    </row>
    <row r="95" spans="1:5" ht="15">
      <c r="A95" s="129"/>
      <c r="B95" s="273"/>
      <c r="C95" s="98"/>
      <c r="D95" s="98"/>
      <c r="E95" s="275"/>
    </row>
    <row r="96" spans="1:5" ht="15">
      <c r="A96" s="129"/>
      <c r="B96" s="273"/>
      <c r="C96" s="98"/>
      <c r="D96" s="98"/>
      <c r="E96" s="275"/>
    </row>
    <row r="97" spans="1:5" ht="15">
      <c r="A97" s="129"/>
      <c r="B97" s="273"/>
      <c r="C97" s="98"/>
      <c r="D97" s="98"/>
      <c r="E97" s="275"/>
    </row>
    <row r="98" spans="1:5" ht="15">
      <c r="A98" s="129"/>
      <c r="B98" s="273"/>
      <c r="C98" s="98"/>
      <c r="D98" s="98"/>
      <c r="E98" s="275"/>
    </row>
    <row r="99" spans="1:5" ht="15">
      <c r="A99" s="129"/>
      <c r="B99" s="273"/>
      <c r="C99" s="98"/>
      <c r="D99" s="98"/>
      <c r="E99" s="275"/>
    </row>
    <row r="100" spans="1:5" ht="15">
      <c r="A100" s="129"/>
      <c r="B100" s="273"/>
      <c r="C100" s="98"/>
      <c r="D100" s="98"/>
      <c r="E100" s="275"/>
    </row>
    <row r="101" spans="1:5" ht="15">
      <c r="A101" s="129"/>
      <c r="B101" s="273"/>
      <c r="C101" s="98"/>
      <c r="D101" s="98"/>
      <c r="E101" s="275"/>
    </row>
    <row r="102" spans="1:5" ht="15">
      <c r="A102" s="129"/>
      <c r="B102" s="273"/>
      <c r="C102" s="98"/>
      <c r="D102" s="98"/>
      <c r="E102" s="275"/>
    </row>
    <row r="103" spans="1:5" ht="15">
      <c r="A103" s="129"/>
      <c r="B103" s="273"/>
      <c r="C103" s="98"/>
      <c r="D103" s="98"/>
      <c r="E103" s="275"/>
    </row>
    <row r="104" spans="1:5" ht="15">
      <c r="A104" s="129"/>
      <c r="B104" s="273"/>
      <c r="C104" s="98"/>
      <c r="D104" s="98"/>
      <c r="E104" s="275"/>
    </row>
    <row r="105" spans="1:5" ht="15">
      <c r="A105" s="129"/>
      <c r="B105" s="273"/>
      <c r="C105" s="98"/>
      <c r="D105" s="98"/>
      <c r="E105" s="275"/>
    </row>
    <row r="106" spans="1:5" ht="15">
      <c r="A106" s="129"/>
      <c r="B106" s="273"/>
      <c r="C106" s="98"/>
      <c r="D106" s="98"/>
      <c r="E106" s="275"/>
    </row>
    <row r="107" spans="1:5" ht="15">
      <c r="A107" s="129"/>
      <c r="B107" s="273"/>
      <c r="C107" s="98"/>
      <c r="D107" s="98"/>
      <c r="E107" s="275"/>
    </row>
    <row r="108" spans="1:5" ht="15">
      <c r="A108" s="129"/>
      <c r="B108" s="273"/>
      <c r="C108" s="98"/>
      <c r="D108" s="98"/>
      <c r="E108" s="275"/>
    </row>
    <row r="109" spans="1:5" ht="15">
      <c r="A109" s="129"/>
      <c r="B109" s="273"/>
      <c r="C109" s="98"/>
      <c r="D109" s="98"/>
      <c r="E109" s="275"/>
    </row>
    <row r="110" spans="1:5" ht="15">
      <c r="A110" s="129"/>
      <c r="B110" s="273"/>
      <c r="C110" s="98"/>
      <c r="D110" s="98"/>
      <c r="E110" s="275"/>
    </row>
    <row r="111" spans="1:5" ht="15">
      <c r="A111" s="129"/>
      <c r="B111" s="273"/>
      <c r="C111" s="98"/>
      <c r="D111" s="98"/>
      <c r="E111" s="275"/>
    </row>
    <row r="112" spans="1:5" ht="15">
      <c r="A112" s="129"/>
      <c r="B112" s="273"/>
      <c r="C112" s="98"/>
      <c r="D112" s="98"/>
      <c r="E112" s="275"/>
    </row>
    <row r="113" spans="1:5" ht="15">
      <c r="A113" s="129"/>
      <c r="B113" s="273"/>
      <c r="C113" s="98"/>
      <c r="D113" s="98"/>
      <c r="E113" s="275"/>
    </row>
    <row r="114" spans="1:5" ht="15">
      <c r="A114" s="129"/>
      <c r="B114" s="273"/>
      <c r="C114" s="98"/>
      <c r="D114" s="98"/>
      <c r="E114" s="275"/>
    </row>
    <row r="115" spans="1:5" ht="15">
      <c r="A115" s="129"/>
      <c r="B115" s="273"/>
      <c r="C115" s="98"/>
      <c r="D115" s="98"/>
      <c r="E115" s="275"/>
    </row>
    <row r="116" spans="1:5" ht="15">
      <c r="A116" s="129"/>
      <c r="B116" s="273"/>
      <c r="C116" s="98"/>
      <c r="D116" s="98"/>
      <c r="E116" s="275"/>
    </row>
    <row r="117" spans="1:5" ht="15">
      <c r="A117" s="129"/>
      <c r="B117" s="273"/>
      <c r="C117" s="98"/>
      <c r="D117" s="98"/>
      <c r="E117" s="275"/>
    </row>
    <row r="118" spans="1:5" ht="15">
      <c r="A118" s="129"/>
      <c r="B118" s="273"/>
      <c r="C118" s="98"/>
      <c r="D118" s="98"/>
      <c r="E118" s="275"/>
    </row>
    <row r="119" spans="1:5" ht="15">
      <c r="A119" s="129"/>
      <c r="B119" s="273"/>
      <c r="C119" s="98"/>
      <c r="D119" s="98"/>
      <c r="E119" s="275"/>
    </row>
    <row r="120" spans="1:5" ht="15">
      <c r="A120" s="129"/>
      <c r="B120" s="273"/>
      <c r="C120" s="98"/>
      <c r="D120" s="98"/>
      <c r="E120" s="275"/>
    </row>
    <row r="121" spans="1:5" ht="15">
      <c r="A121" s="129"/>
      <c r="B121" s="273"/>
      <c r="C121" s="98"/>
      <c r="D121" s="98"/>
      <c r="E121" s="275"/>
    </row>
    <row r="122" spans="1:5" ht="15">
      <c r="A122" s="129"/>
      <c r="B122" s="273"/>
      <c r="C122" s="98"/>
      <c r="D122" s="98"/>
      <c r="E122" s="275"/>
    </row>
    <row r="123" spans="1:5" ht="15">
      <c r="A123" s="129"/>
      <c r="B123" s="273"/>
      <c r="C123" s="98"/>
      <c r="D123" s="98"/>
      <c r="E123" s="275"/>
    </row>
    <row r="124" spans="1:5" ht="15">
      <c r="A124" s="129"/>
      <c r="B124" s="273"/>
      <c r="C124" s="98"/>
      <c r="D124" s="98"/>
      <c r="E124" s="275"/>
    </row>
    <row r="125" spans="1:5" ht="15">
      <c r="A125" s="129"/>
      <c r="B125" s="273"/>
      <c r="C125" s="98"/>
      <c r="D125" s="98"/>
      <c r="E125" s="275"/>
    </row>
    <row r="126" spans="1:5" ht="15">
      <c r="A126" s="129"/>
      <c r="B126" s="273"/>
      <c r="C126" s="98"/>
      <c r="D126" s="98"/>
      <c r="E126" s="275"/>
    </row>
    <row r="127" spans="1:5" ht="15">
      <c r="A127" s="129"/>
      <c r="B127" s="273"/>
      <c r="C127" s="98"/>
      <c r="D127" s="98"/>
      <c r="E127" s="275"/>
    </row>
    <row r="128" spans="1:5" ht="15">
      <c r="A128" s="129"/>
      <c r="B128" s="273"/>
      <c r="C128" s="98"/>
      <c r="D128" s="98"/>
      <c r="E128" s="275"/>
    </row>
    <row r="129" spans="1:5" ht="15">
      <c r="A129" s="129"/>
      <c r="B129" s="273"/>
      <c r="C129" s="98"/>
      <c r="D129" s="98"/>
      <c r="E129" s="275"/>
    </row>
    <row r="130" spans="1:5" ht="15">
      <c r="A130" s="129"/>
      <c r="B130" s="273"/>
      <c r="C130" s="98"/>
      <c r="D130" s="98"/>
      <c r="E130" s="275"/>
    </row>
    <row r="131" spans="1:5" ht="15">
      <c r="A131" s="129"/>
      <c r="B131" s="273"/>
      <c r="C131" s="98"/>
      <c r="D131" s="98"/>
      <c r="E131" s="275"/>
    </row>
    <row r="132" spans="1:5" ht="15">
      <c r="A132" s="129"/>
      <c r="B132" s="273"/>
      <c r="C132" s="98"/>
      <c r="D132" s="98"/>
      <c r="E132" s="275"/>
    </row>
    <row r="133" spans="1:5" ht="15">
      <c r="A133" s="129"/>
      <c r="B133" s="273"/>
      <c r="C133" s="98"/>
      <c r="D133" s="98"/>
      <c r="E133" s="275"/>
    </row>
    <row r="134" spans="1:5" ht="15">
      <c r="A134" s="129"/>
      <c r="B134" s="273"/>
      <c r="C134" s="98"/>
      <c r="D134" s="98"/>
      <c r="E134" s="275"/>
    </row>
    <row r="135" spans="1:5" ht="15">
      <c r="A135" s="129"/>
      <c r="B135" s="273"/>
      <c r="C135" s="98"/>
      <c r="D135" s="98"/>
      <c r="E135" s="275"/>
    </row>
    <row r="136" spans="1:5" ht="15">
      <c r="A136" s="129"/>
      <c r="B136" s="273"/>
      <c r="C136" s="98"/>
      <c r="D136" s="98"/>
      <c r="E136" s="275"/>
    </row>
    <row r="137" spans="1:5" ht="15">
      <c r="A137" s="129"/>
      <c r="B137" s="273"/>
      <c r="C137" s="98"/>
      <c r="D137" s="98"/>
      <c r="E137" s="275"/>
    </row>
    <row r="138" spans="1:5" ht="15">
      <c r="A138" s="129"/>
      <c r="B138" s="273"/>
      <c r="C138" s="98"/>
      <c r="D138" s="98"/>
      <c r="E138" s="275"/>
    </row>
    <row r="139" spans="1:5" ht="15">
      <c r="A139" s="129"/>
      <c r="B139" s="273"/>
      <c r="C139" s="98"/>
      <c r="D139" s="98"/>
      <c r="E139" s="275"/>
    </row>
    <row r="140" spans="1:5" ht="15">
      <c r="A140" s="129"/>
      <c r="B140" s="273"/>
      <c r="C140" s="98"/>
      <c r="D140" s="98"/>
      <c r="E140" s="275"/>
    </row>
    <row r="141" spans="1:5" ht="15">
      <c r="A141" s="129"/>
      <c r="B141" s="273"/>
      <c r="C141" s="98"/>
      <c r="D141" s="98"/>
      <c r="E141" s="275"/>
    </row>
    <row r="142" spans="1:5" ht="15">
      <c r="A142" s="129"/>
      <c r="B142" s="273"/>
      <c r="C142" s="98"/>
      <c r="D142" s="98"/>
      <c r="E142" s="275"/>
    </row>
    <row r="143" spans="1:5" ht="15">
      <c r="A143" s="129"/>
      <c r="B143" s="273"/>
      <c r="C143" s="98"/>
      <c r="D143" s="98"/>
      <c r="E143" s="275"/>
    </row>
    <row r="144" spans="1:5" ht="15">
      <c r="A144" s="129"/>
      <c r="B144" s="273"/>
      <c r="C144" s="98"/>
      <c r="D144" s="98"/>
      <c r="E144" s="275"/>
    </row>
    <row r="145" spans="1:5" ht="15">
      <c r="A145" s="129"/>
      <c r="B145" s="273"/>
      <c r="C145" s="98"/>
      <c r="D145" s="98"/>
      <c r="E145" s="275"/>
    </row>
    <row r="146" spans="1:5" ht="15">
      <c r="A146" s="129"/>
      <c r="B146" s="273"/>
      <c r="C146" s="98"/>
      <c r="D146" s="98"/>
      <c r="E146" s="275"/>
    </row>
    <row r="147" spans="1:5" ht="15">
      <c r="A147" s="129"/>
      <c r="B147" s="273"/>
      <c r="C147" s="98"/>
      <c r="D147" s="98"/>
      <c r="E147" s="275"/>
    </row>
    <row r="148" spans="1:5" ht="15">
      <c r="A148" s="129"/>
      <c r="B148" s="273"/>
      <c r="C148" s="98"/>
      <c r="D148" s="98"/>
      <c r="E148" s="275"/>
    </row>
    <row r="149" spans="1:5" ht="15">
      <c r="A149" s="129"/>
      <c r="B149" s="273"/>
      <c r="C149" s="98"/>
      <c r="D149" s="98"/>
      <c r="E149" s="275"/>
    </row>
    <row r="150" spans="1:5" ht="15">
      <c r="A150" s="129"/>
      <c r="B150" s="273"/>
      <c r="C150" s="98"/>
      <c r="D150" s="98"/>
      <c r="E150" s="275"/>
    </row>
    <row r="151" spans="1:5" ht="15">
      <c r="A151" s="129"/>
      <c r="B151" s="273"/>
      <c r="C151" s="98"/>
      <c r="D151" s="98"/>
      <c r="E151" s="275"/>
    </row>
    <row r="152" spans="1:5" ht="15">
      <c r="A152" s="129"/>
      <c r="B152" s="273"/>
      <c r="C152" s="98"/>
      <c r="D152" s="98"/>
      <c r="E152" s="275"/>
    </row>
    <row r="153" spans="1:5" ht="15">
      <c r="A153" s="129"/>
      <c r="B153" s="273"/>
      <c r="C153" s="98"/>
      <c r="D153" s="98"/>
      <c r="E153" s="275"/>
    </row>
    <row r="154" spans="1:5" ht="15">
      <c r="A154" s="129"/>
      <c r="B154" s="273"/>
      <c r="C154" s="98"/>
      <c r="D154" s="98"/>
      <c r="E154" s="275"/>
    </row>
    <row r="155" spans="1:5" ht="15">
      <c r="A155" s="129"/>
      <c r="B155" s="273"/>
      <c r="C155" s="98"/>
      <c r="D155" s="98"/>
      <c r="E155" s="275"/>
    </row>
    <row r="156" spans="1:5" ht="15">
      <c r="A156" s="129"/>
      <c r="B156" s="273"/>
      <c r="C156" s="98"/>
      <c r="D156" s="98"/>
      <c r="E156" s="275"/>
    </row>
    <row r="157" spans="1:5" ht="15">
      <c r="A157" s="129"/>
      <c r="B157" s="273"/>
      <c r="C157" s="98"/>
      <c r="D157" s="98"/>
      <c r="E157" s="275"/>
    </row>
    <row r="158" spans="1:5" ht="15">
      <c r="A158" s="129"/>
      <c r="B158" s="273"/>
      <c r="C158" s="98"/>
      <c r="D158" s="98"/>
      <c r="E158" s="275"/>
    </row>
    <row r="159" spans="1:5" ht="15">
      <c r="A159" s="129"/>
      <c r="B159" s="273"/>
      <c r="C159" s="98"/>
      <c r="D159" s="98"/>
      <c r="E159" s="275"/>
    </row>
    <row r="160" spans="1:5" ht="15">
      <c r="A160" s="129"/>
      <c r="B160" s="273"/>
      <c r="C160" s="98"/>
      <c r="D160" s="98"/>
      <c r="E160" s="275"/>
    </row>
    <row r="161" spans="1:5" ht="15">
      <c r="A161" s="129"/>
      <c r="B161" s="273"/>
      <c r="C161" s="98"/>
      <c r="D161" s="98"/>
      <c r="E161" s="275"/>
    </row>
    <row r="162" spans="1:5" ht="15">
      <c r="A162" s="129"/>
      <c r="B162" s="273"/>
      <c r="C162" s="98"/>
      <c r="D162" s="98"/>
      <c r="E162" s="275"/>
    </row>
    <row r="163" spans="1:5" ht="15">
      <c r="A163" s="129"/>
      <c r="B163" s="273"/>
      <c r="C163" s="98"/>
      <c r="D163" s="98"/>
      <c r="E163" s="275"/>
    </row>
    <row r="164" spans="1:5" ht="15">
      <c r="A164" s="129"/>
      <c r="B164" s="273"/>
      <c r="C164" s="98"/>
      <c r="D164" s="98"/>
      <c r="E164" s="275"/>
    </row>
    <row r="165" spans="1:5" ht="15">
      <c r="A165" s="129"/>
      <c r="B165" s="273"/>
      <c r="C165" s="98"/>
      <c r="D165" s="98"/>
      <c r="E165" s="275"/>
    </row>
    <row r="166" spans="1:5" ht="15">
      <c r="A166" s="129"/>
      <c r="B166" s="273"/>
      <c r="C166" s="98"/>
      <c r="D166" s="98"/>
      <c r="E166" s="275"/>
    </row>
    <row r="167" spans="1:5" ht="15">
      <c r="A167" s="129"/>
      <c r="B167" s="273"/>
      <c r="C167" s="98"/>
      <c r="D167" s="98"/>
      <c r="E167" s="275"/>
    </row>
    <row r="168" spans="1:5" ht="15">
      <c r="A168" s="129"/>
      <c r="B168" s="273"/>
      <c r="C168" s="98"/>
      <c r="D168" s="98"/>
      <c r="E168" s="275"/>
    </row>
    <row r="169" spans="1:5" ht="15">
      <c r="A169" s="129"/>
      <c r="B169" s="273"/>
      <c r="C169" s="98"/>
      <c r="D169" s="98"/>
      <c r="E169" s="275"/>
    </row>
    <row r="170" spans="1:5" ht="15">
      <c r="A170" s="129"/>
      <c r="B170" s="273"/>
      <c r="C170" s="98"/>
      <c r="D170" s="98"/>
      <c r="E170" s="275"/>
    </row>
    <row r="171" spans="1:5" ht="15">
      <c r="A171" s="129"/>
      <c r="B171" s="273"/>
      <c r="C171" s="98"/>
      <c r="D171" s="98"/>
      <c r="E171" s="275"/>
    </row>
    <row r="172" spans="1:5" ht="15">
      <c r="A172" s="129"/>
      <c r="B172" s="273"/>
      <c r="C172" s="98"/>
      <c r="D172" s="98"/>
      <c r="E172" s="275"/>
    </row>
    <row r="173" spans="1:5" ht="15">
      <c r="A173" s="129"/>
      <c r="B173" s="273"/>
      <c r="C173" s="98"/>
      <c r="D173" s="98"/>
      <c r="E173" s="275"/>
    </row>
    <row r="174" spans="1:5" ht="15">
      <c r="A174" s="129"/>
      <c r="B174" s="273"/>
      <c r="C174" s="98"/>
      <c r="D174" s="98"/>
      <c r="E174" s="275"/>
    </row>
    <row r="175" spans="1:5" ht="15">
      <c r="A175" s="129"/>
      <c r="B175" s="273"/>
      <c r="C175" s="98"/>
      <c r="D175" s="98"/>
      <c r="E175" s="275"/>
    </row>
    <row r="176" spans="1:5" ht="15">
      <c r="A176" s="129"/>
      <c r="B176" s="273"/>
      <c r="C176" s="98"/>
      <c r="D176" s="98"/>
      <c r="E176" s="275"/>
    </row>
    <row r="177" spans="1:5" ht="15">
      <c r="A177" s="129"/>
      <c r="B177" s="273"/>
      <c r="C177" s="98"/>
      <c r="D177" s="98"/>
      <c r="E177" s="275"/>
    </row>
    <row r="178" spans="1:5" ht="15">
      <c r="A178" s="129"/>
      <c r="B178" s="273"/>
      <c r="C178" s="98"/>
      <c r="D178" s="98"/>
      <c r="E178" s="275"/>
    </row>
    <row r="179" spans="1:5" ht="15">
      <c r="A179" s="129"/>
      <c r="B179" s="273"/>
      <c r="C179" s="98"/>
      <c r="D179" s="98"/>
      <c r="E179" s="275"/>
    </row>
    <row r="180" spans="1:5" ht="15">
      <c r="A180" s="129"/>
      <c r="B180" s="273"/>
      <c r="C180" s="98"/>
      <c r="D180" s="98"/>
      <c r="E180" s="275"/>
    </row>
    <row r="181" spans="1:5" ht="15">
      <c r="A181" s="129"/>
      <c r="B181" s="273"/>
      <c r="C181" s="98"/>
      <c r="D181" s="98"/>
      <c r="E181" s="275"/>
    </row>
    <row r="182" spans="1:5" ht="15">
      <c r="A182" s="129"/>
      <c r="B182" s="273"/>
      <c r="C182" s="98"/>
      <c r="D182" s="98"/>
      <c r="E182" s="275"/>
    </row>
    <row r="183" spans="1:5" ht="15">
      <c r="A183" s="129"/>
      <c r="B183" s="273"/>
      <c r="C183" s="98"/>
      <c r="D183" s="98"/>
      <c r="E183" s="275"/>
    </row>
    <row r="184" spans="1:5" ht="15">
      <c r="A184" s="129"/>
      <c r="B184" s="273"/>
      <c r="C184" s="98"/>
      <c r="D184" s="98"/>
      <c r="E184" s="275"/>
    </row>
    <row r="185" spans="1:5" ht="15">
      <c r="A185" s="129"/>
      <c r="B185" s="273"/>
      <c r="C185" s="98"/>
      <c r="D185" s="98"/>
      <c r="E185" s="275"/>
    </row>
    <row r="186" spans="1:5" ht="15">
      <c r="A186" s="129"/>
      <c r="B186" s="273"/>
      <c r="C186" s="98"/>
      <c r="D186" s="98"/>
      <c r="E186" s="275"/>
    </row>
    <row r="187" spans="1:5" ht="15">
      <c r="A187" s="129"/>
      <c r="B187" s="273"/>
      <c r="C187" s="98"/>
      <c r="D187" s="98"/>
      <c r="E187" s="275"/>
    </row>
    <row r="188" spans="1:5" ht="15">
      <c r="A188" s="129"/>
      <c r="B188" s="273"/>
      <c r="C188" s="98"/>
      <c r="D188" s="98"/>
      <c r="E188" s="275"/>
    </row>
    <row r="189" spans="1:5" ht="15">
      <c r="A189" s="129"/>
      <c r="B189" s="273"/>
      <c r="C189" s="98"/>
      <c r="D189" s="98"/>
      <c r="E189" s="275"/>
    </row>
    <row r="190" spans="1:5" ht="15">
      <c r="A190" s="129"/>
      <c r="B190" s="273"/>
      <c r="C190" s="98"/>
      <c r="D190" s="98"/>
      <c r="E190" s="275"/>
    </row>
    <row r="191" spans="1:5" ht="15">
      <c r="A191" s="129"/>
      <c r="B191" s="273"/>
      <c r="C191" s="98"/>
      <c r="D191" s="98"/>
      <c r="E191" s="275"/>
    </row>
    <row r="192" spans="1:5" ht="15">
      <c r="A192" s="129"/>
      <c r="B192" s="273"/>
      <c r="C192" s="98"/>
      <c r="D192" s="98"/>
      <c r="E192" s="275"/>
    </row>
    <row r="193" spans="1:5" ht="15">
      <c r="A193" s="129"/>
      <c r="B193" s="273"/>
      <c r="C193" s="98"/>
      <c r="D193" s="98"/>
      <c r="E193" s="275"/>
    </row>
    <row r="194" spans="1:5" ht="15">
      <c r="A194" s="129"/>
      <c r="B194" s="273"/>
      <c r="C194" s="98"/>
      <c r="D194" s="98"/>
      <c r="E194" s="275"/>
    </row>
    <row r="195" spans="1:5" ht="15">
      <c r="A195" s="129"/>
      <c r="B195" s="273"/>
      <c r="C195" s="98"/>
      <c r="D195" s="98"/>
      <c r="E195" s="275"/>
    </row>
    <row r="196" spans="1:5" ht="15">
      <c r="A196" s="129"/>
      <c r="B196" s="273"/>
      <c r="C196" s="98"/>
      <c r="D196" s="98"/>
      <c r="E196" s="275"/>
    </row>
    <row r="197" spans="1:5" ht="15">
      <c r="A197" s="129"/>
      <c r="B197" s="273"/>
      <c r="C197" s="98"/>
      <c r="D197" s="98"/>
      <c r="E197" s="275"/>
    </row>
    <row r="198" spans="1:5" ht="15">
      <c r="A198" s="129"/>
      <c r="B198" s="273"/>
      <c r="C198" s="98"/>
      <c r="D198" s="98"/>
      <c r="E198" s="275"/>
    </row>
    <row r="199" spans="1:5" ht="15">
      <c r="A199" s="129"/>
      <c r="B199" s="273"/>
      <c r="C199" s="98"/>
      <c r="D199" s="98"/>
      <c r="E199" s="275"/>
    </row>
    <row r="200" spans="1:5" ht="15">
      <c r="A200" s="129"/>
      <c r="B200" s="273"/>
      <c r="C200" s="98"/>
      <c r="D200" s="98"/>
      <c r="E200" s="275"/>
    </row>
    <row r="201" spans="1:5" ht="15">
      <c r="A201" s="129"/>
      <c r="B201" s="273"/>
      <c r="C201" s="98"/>
      <c r="D201" s="98"/>
      <c r="E201" s="275"/>
    </row>
    <row r="202" spans="1:5" ht="15">
      <c r="A202" s="129"/>
      <c r="B202" s="273"/>
      <c r="C202" s="98"/>
      <c r="D202" s="98"/>
      <c r="E202" s="275"/>
    </row>
    <row r="203" spans="1:5" ht="15">
      <c r="A203" s="129"/>
      <c r="B203" s="273"/>
      <c r="C203" s="98"/>
      <c r="D203" s="98"/>
      <c r="E203" s="275"/>
    </row>
    <row r="204" spans="1:5" ht="15">
      <c r="A204" s="129"/>
      <c r="B204" s="273"/>
      <c r="C204" s="98"/>
      <c r="D204" s="98"/>
      <c r="E204" s="275"/>
    </row>
    <row r="205" spans="1:5" ht="15">
      <c r="A205" s="129"/>
      <c r="B205" s="273"/>
      <c r="C205" s="98"/>
      <c r="D205" s="98"/>
      <c r="E205" s="275"/>
    </row>
    <row r="206" spans="1:5" ht="15">
      <c r="A206" s="129"/>
      <c r="B206" s="273"/>
      <c r="C206" s="98"/>
      <c r="D206" s="98"/>
      <c r="E206" s="275"/>
    </row>
    <row r="207" spans="1:5" ht="15">
      <c r="A207" s="129"/>
      <c r="B207" s="273"/>
      <c r="C207" s="98"/>
      <c r="D207" s="98"/>
      <c r="E207" s="275"/>
    </row>
    <row r="208" spans="1:5" ht="15">
      <c r="A208" s="129"/>
      <c r="B208" s="273"/>
      <c r="C208" s="98"/>
      <c r="D208" s="98"/>
      <c r="E208" s="275"/>
    </row>
    <row r="209" spans="1:5" ht="15">
      <c r="A209" s="129"/>
      <c r="B209" s="273"/>
      <c r="C209" s="98"/>
      <c r="D209" s="98"/>
      <c r="E209" s="275"/>
    </row>
    <row r="210" spans="1:5" ht="15">
      <c r="A210" s="129"/>
      <c r="B210" s="273"/>
      <c r="C210" s="98"/>
      <c r="D210" s="98"/>
      <c r="E210" s="275"/>
    </row>
    <row r="211" spans="1:5" ht="15">
      <c r="A211" s="129"/>
      <c r="B211" s="273"/>
      <c r="C211" s="98"/>
      <c r="D211" s="98"/>
      <c r="E211" s="275"/>
    </row>
    <row r="212" spans="1:5" ht="15">
      <c r="A212" s="129"/>
      <c r="B212" s="273"/>
      <c r="C212" s="98"/>
      <c r="D212" s="98"/>
      <c r="E212" s="275"/>
    </row>
    <row r="213" spans="1:5" ht="15">
      <c r="A213" s="129"/>
      <c r="B213" s="273"/>
      <c r="C213" s="98"/>
      <c r="D213" s="98"/>
      <c r="E213" s="275"/>
    </row>
    <row r="214" spans="1:5" ht="15">
      <c r="A214" s="129"/>
      <c r="B214" s="273"/>
      <c r="C214" s="98"/>
      <c r="D214" s="98"/>
      <c r="E214" s="275"/>
    </row>
    <row r="215" spans="1:5" ht="15">
      <c r="A215" s="129"/>
      <c r="B215" s="273"/>
      <c r="C215" s="98"/>
      <c r="D215" s="98"/>
      <c r="E215" s="275"/>
    </row>
    <row r="216" spans="1:5" ht="15">
      <c r="A216" s="129"/>
      <c r="B216" s="273"/>
      <c r="C216" s="98"/>
      <c r="D216" s="98"/>
      <c r="E216" s="275"/>
    </row>
    <row r="217" spans="1:5" ht="15">
      <c r="A217" s="129"/>
      <c r="B217" s="273"/>
      <c r="C217" s="98"/>
      <c r="D217" s="98"/>
      <c r="E217" s="275"/>
    </row>
    <row r="218" spans="1:5" ht="15">
      <c r="A218" s="129"/>
      <c r="B218" s="273"/>
      <c r="C218" s="98"/>
      <c r="D218" s="98"/>
      <c r="E218" s="275"/>
    </row>
    <row r="219" spans="1:5" ht="15">
      <c r="A219" s="129"/>
      <c r="B219" s="273"/>
      <c r="C219" s="98"/>
      <c r="D219" s="98"/>
      <c r="E219" s="275"/>
    </row>
    <row r="220" spans="1:5" ht="15">
      <c r="A220" s="129"/>
      <c r="B220" s="273"/>
      <c r="C220" s="98"/>
      <c r="D220" s="98"/>
      <c r="E220" s="275"/>
    </row>
    <row r="221" spans="1:5" ht="15">
      <c r="A221" s="129"/>
      <c r="B221" s="273"/>
      <c r="C221" s="98"/>
      <c r="D221" s="98"/>
      <c r="E221" s="275"/>
    </row>
    <row r="222" spans="1:5" ht="15">
      <c r="A222" s="129"/>
      <c r="B222" s="273"/>
      <c r="C222" s="98"/>
      <c r="D222" s="98"/>
      <c r="E222" s="275"/>
    </row>
    <row r="223" spans="1:5" ht="15">
      <c r="A223" s="129"/>
      <c r="B223" s="273"/>
      <c r="C223" s="98"/>
      <c r="D223" s="98"/>
      <c r="E223" s="275"/>
    </row>
    <row r="224" spans="1:5" ht="15">
      <c r="A224" s="129"/>
      <c r="B224" s="273"/>
      <c r="C224" s="98"/>
      <c r="D224" s="98"/>
      <c r="E224" s="275"/>
    </row>
    <row r="225" spans="1:5" ht="15">
      <c r="A225" s="129"/>
      <c r="B225" s="273"/>
      <c r="C225" s="98"/>
      <c r="D225" s="98"/>
      <c r="E225" s="275"/>
    </row>
    <row r="226" spans="1:5" ht="15">
      <c r="A226" s="129"/>
      <c r="B226" s="273"/>
      <c r="C226" s="98"/>
      <c r="D226" s="98"/>
      <c r="E226" s="275"/>
    </row>
    <row r="227" spans="1:5" ht="15">
      <c r="A227" s="129"/>
      <c r="B227" s="273"/>
      <c r="C227" s="98"/>
      <c r="D227" s="98"/>
      <c r="E227" s="275"/>
    </row>
    <row r="228" spans="1:5" ht="15">
      <c r="A228" s="129"/>
      <c r="B228" s="273"/>
      <c r="C228" s="98"/>
      <c r="D228" s="98"/>
      <c r="E228" s="275"/>
    </row>
    <row r="229" spans="1:5" ht="15">
      <c r="A229" s="129"/>
      <c r="B229" s="273"/>
      <c r="C229" s="98"/>
      <c r="D229" s="98"/>
      <c r="E229" s="275"/>
    </row>
    <row r="230" spans="1:5" ht="15">
      <c r="A230" s="129"/>
      <c r="B230" s="273"/>
      <c r="C230" s="98"/>
      <c r="D230" s="98"/>
      <c r="E230" s="275"/>
    </row>
    <row r="231" spans="1:5" ht="15">
      <c r="A231" s="129"/>
      <c r="B231" s="273"/>
      <c r="C231" s="98"/>
      <c r="D231" s="98"/>
      <c r="E231" s="275"/>
    </row>
    <row r="232" spans="1:5" ht="15">
      <c r="A232" s="129"/>
      <c r="B232" s="273"/>
      <c r="C232" s="98"/>
      <c r="D232" s="98"/>
      <c r="E232" s="275"/>
    </row>
    <row r="233" spans="1:5" ht="15">
      <c r="A233" s="129"/>
      <c r="B233" s="273"/>
      <c r="C233" s="98"/>
      <c r="D233" s="98"/>
      <c r="E233" s="275"/>
    </row>
    <row r="234" spans="1:5" ht="15">
      <c r="A234" s="129"/>
      <c r="B234" s="273"/>
      <c r="C234" s="98"/>
      <c r="D234" s="98"/>
      <c r="E234" s="275"/>
    </row>
    <row r="235" spans="1:5" ht="15">
      <c r="A235" s="129"/>
      <c r="B235" s="273"/>
      <c r="C235" s="98"/>
      <c r="D235" s="98"/>
      <c r="E235" s="275"/>
    </row>
    <row r="236" spans="1:5" ht="15">
      <c r="A236" s="129"/>
      <c r="B236" s="273"/>
      <c r="C236" s="98"/>
      <c r="D236" s="98"/>
      <c r="E236" s="275"/>
    </row>
    <row r="237" spans="1:5" ht="15">
      <c r="A237" s="129"/>
      <c r="B237" s="273"/>
      <c r="C237" s="98"/>
      <c r="D237" s="98"/>
      <c r="E237" s="275"/>
    </row>
    <row r="238" spans="1:5" ht="15">
      <c r="A238" s="129"/>
      <c r="B238" s="273"/>
      <c r="C238" s="98"/>
      <c r="D238" s="98"/>
      <c r="E238" s="275"/>
    </row>
    <row r="239" spans="1:5" ht="15">
      <c r="A239" s="129"/>
      <c r="B239" s="273"/>
      <c r="C239" s="98"/>
      <c r="D239" s="98"/>
      <c r="E239" s="275"/>
    </row>
    <row r="240" spans="1:5" ht="15">
      <c r="A240" s="129"/>
      <c r="B240" s="273"/>
      <c r="C240" s="98"/>
      <c r="D240" s="98"/>
      <c r="E240" s="275"/>
    </row>
    <row r="241" spans="1:5" ht="15">
      <c r="A241" s="129"/>
      <c r="B241" s="273"/>
      <c r="C241" s="98"/>
      <c r="D241" s="98"/>
      <c r="E241" s="275"/>
    </row>
    <row r="242" spans="1:5" ht="15">
      <c r="A242" s="129"/>
      <c r="B242" s="273"/>
      <c r="C242" s="98"/>
      <c r="D242" s="98"/>
      <c r="E242" s="275"/>
    </row>
    <row r="243" spans="1:5" ht="15">
      <c r="A243" s="129"/>
      <c r="B243" s="273"/>
      <c r="C243" s="98"/>
      <c r="D243" s="98"/>
      <c r="E243" s="275"/>
    </row>
    <row r="244" spans="1:5" ht="15">
      <c r="A244" s="129"/>
      <c r="B244" s="273"/>
      <c r="C244" s="98"/>
      <c r="D244" s="98"/>
      <c r="E244" s="275"/>
    </row>
    <row r="245" spans="1:5" ht="15">
      <c r="A245" s="129"/>
      <c r="B245" s="273"/>
      <c r="C245" s="98"/>
      <c r="D245" s="98"/>
      <c r="E245" s="275"/>
    </row>
    <row r="246" spans="1:5" ht="15">
      <c r="A246" s="129"/>
      <c r="B246" s="273"/>
      <c r="C246" s="98"/>
      <c r="D246" s="98"/>
      <c r="E246" s="275"/>
    </row>
    <row r="247" spans="1:5" ht="15">
      <c r="A247" s="129"/>
      <c r="B247" s="273"/>
      <c r="C247" s="98"/>
      <c r="D247" s="98"/>
      <c r="E247" s="275"/>
    </row>
    <row r="248" spans="1:5" ht="15">
      <c r="A248" s="129"/>
      <c r="B248" s="273"/>
      <c r="C248" s="98"/>
      <c r="D248" s="98"/>
      <c r="E248" s="275"/>
    </row>
    <row r="249" spans="1:5" ht="15">
      <c r="A249" s="129"/>
      <c r="B249" s="273"/>
      <c r="C249" s="98"/>
      <c r="D249" s="98"/>
      <c r="E249" s="275"/>
    </row>
    <row r="250" spans="1:5" ht="15">
      <c r="A250" s="129"/>
      <c r="B250" s="273"/>
      <c r="C250" s="98"/>
      <c r="D250" s="98"/>
      <c r="E250" s="275"/>
    </row>
    <row r="251" spans="1:5" ht="15">
      <c r="A251" s="129"/>
      <c r="B251" s="273"/>
      <c r="C251" s="98"/>
      <c r="D251" s="98"/>
      <c r="E251" s="275"/>
    </row>
    <row r="252" spans="1:5" ht="15">
      <c r="A252" s="129"/>
      <c r="B252" s="273"/>
      <c r="C252" s="98"/>
      <c r="D252" s="98"/>
      <c r="E252" s="275"/>
    </row>
    <row r="253" spans="1:5" ht="15">
      <c r="A253" s="129"/>
      <c r="B253" s="273"/>
      <c r="C253" s="98"/>
      <c r="D253" s="98"/>
      <c r="E253" s="275"/>
    </row>
    <row r="254" spans="1:5" ht="15">
      <c r="A254" s="129"/>
      <c r="B254" s="273"/>
      <c r="C254" s="98"/>
      <c r="D254" s="98"/>
      <c r="E254" s="275"/>
    </row>
    <row r="255" spans="1:5" ht="15">
      <c r="A255" s="129"/>
      <c r="B255" s="273"/>
      <c r="C255" s="98"/>
      <c r="D255" s="98"/>
      <c r="E255" s="275"/>
    </row>
    <row r="256" spans="1:5" ht="15">
      <c r="A256" s="129"/>
      <c r="B256" s="273"/>
      <c r="C256" s="98"/>
      <c r="D256" s="98"/>
      <c r="E256" s="275"/>
    </row>
    <row r="257" spans="1:5" ht="15">
      <c r="A257" s="129"/>
      <c r="B257" s="273"/>
      <c r="C257" s="98"/>
      <c r="D257" s="98"/>
      <c r="E257" s="275"/>
    </row>
    <row r="258" spans="1:5" ht="15">
      <c r="A258" s="129"/>
      <c r="B258" s="273"/>
      <c r="C258" s="98"/>
      <c r="D258" s="98"/>
      <c r="E258" s="275"/>
    </row>
    <row r="259" spans="1:5" ht="15">
      <c r="A259" s="129"/>
      <c r="B259" s="273"/>
      <c r="C259" s="98"/>
      <c r="D259" s="98"/>
      <c r="E259" s="275"/>
    </row>
    <row r="260" spans="1:5" ht="15">
      <c r="A260" s="129"/>
      <c r="B260" s="273"/>
      <c r="C260" s="98"/>
      <c r="D260" s="98"/>
      <c r="E260" s="275"/>
    </row>
    <row r="261" spans="1:5" ht="15">
      <c r="A261" s="129"/>
      <c r="B261" s="273"/>
      <c r="C261" s="98"/>
      <c r="D261" s="98"/>
      <c r="E261" s="275"/>
    </row>
    <row r="262" spans="1:5" ht="15">
      <c r="A262" s="129"/>
      <c r="B262" s="273"/>
      <c r="C262" s="98"/>
      <c r="D262" s="98"/>
      <c r="E262" s="275"/>
    </row>
    <row r="263" spans="1:5" ht="15">
      <c r="A263" s="129"/>
      <c r="B263" s="273"/>
      <c r="C263" s="98"/>
      <c r="D263" s="98"/>
      <c r="E263" s="275"/>
    </row>
    <row r="264" spans="1:5" ht="15">
      <c r="A264" s="129"/>
      <c r="B264" s="273"/>
      <c r="C264" s="98"/>
      <c r="D264" s="98"/>
      <c r="E264" s="275"/>
    </row>
    <row r="265" spans="1:5" ht="15">
      <c r="A265" s="129"/>
      <c r="B265" s="273"/>
      <c r="C265" s="98"/>
      <c r="D265" s="98"/>
      <c r="E265" s="275"/>
    </row>
    <row r="266" spans="1:5" ht="15">
      <c r="A266" s="129"/>
      <c r="B266" s="273"/>
      <c r="C266" s="98"/>
      <c r="D266" s="98"/>
      <c r="E266" s="275"/>
    </row>
    <row r="267" spans="1:5" ht="15">
      <c r="A267" s="129"/>
      <c r="B267" s="273"/>
      <c r="C267" s="98"/>
      <c r="D267" s="98"/>
      <c r="E267" s="275"/>
    </row>
    <row r="268" spans="1:5" ht="15">
      <c r="A268" s="129"/>
      <c r="B268" s="273"/>
      <c r="C268" s="98"/>
      <c r="D268" s="98"/>
      <c r="E268" s="275"/>
    </row>
    <row r="269" spans="1:5" ht="15">
      <c r="A269" s="129"/>
      <c r="B269" s="273"/>
      <c r="C269" s="98"/>
      <c r="D269" s="98"/>
      <c r="E269" s="275"/>
    </row>
    <row r="270" spans="1:5" ht="15">
      <c r="A270" s="129"/>
      <c r="B270" s="273"/>
      <c r="C270" s="98"/>
      <c r="D270" s="98"/>
      <c r="E270" s="275"/>
    </row>
    <row r="271" spans="1:5" ht="15">
      <c r="A271" s="129"/>
      <c r="B271" s="273"/>
      <c r="C271" s="98"/>
      <c r="D271" s="98"/>
      <c r="E271" s="275"/>
    </row>
    <row r="272" spans="1:5" ht="15">
      <c r="A272" s="129"/>
      <c r="B272" s="273"/>
      <c r="C272" s="98"/>
      <c r="D272" s="98"/>
      <c r="E272" s="275"/>
    </row>
    <row r="273" spans="1:5" ht="15">
      <c r="A273" s="129"/>
      <c r="B273" s="273"/>
      <c r="C273" s="98"/>
      <c r="D273" s="98"/>
      <c r="E273" s="275"/>
    </row>
    <row r="274" spans="1:5" ht="15">
      <c r="A274" s="129"/>
      <c r="B274" s="273"/>
      <c r="C274" s="98"/>
      <c r="D274" s="98"/>
      <c r="E274" s="275"/>
    </row>
    <row r="275" spans="1:5" ht="15">
      <c r="A275" s="129"/>
      <c r="B275" s="273"/>
      <c r="C275" s="98"/>
      <c r="D275" s="98"/>
      <c r="E275" s="275"/>
    </row>
    <row r="276" spans="1:5" ht="15">
      <c r="A276" s="129"/>
      <c r="B276" s="273"/>
      <c r="C276" s="98"/>
      <c r="D276" s="98"/>
      <c r="E276" s="275"/>
    </row>
    <row r="277" spans="1:5" ht="15">
      <c r="A277" s="129"/>
      <c r="B277" s="273"/>
      <c r="C277" s="98"/>
      <c r="D277" s="98"/>
      <c r="E277" s="275"/>
    </row>
    <row r="278" spans="1:5" ht="15">
      <c r="A278" s="129"/>
      <c r="B278" s="273"/>
      <c r="C278" s="98"/>
      <c r="D278" s="98"/>
      <c r="E278" s="275"/>
    </row>
    <row r="279" spans="1:5" ht="15">
      <c r="A279" s="129"/>
      <c r="B279" s="273"/>
      <c r="C279" s="98"/>
      <c r="D279" s="98"/>
      <c r="E279" s="275"/>
    </row>
    <row r="280" spans="1:5" ht="15">
      <c r="A280" s="129"/>
      <c r="B280" s="273"/>
      <c r="C280" s="98"/>
      <c r="D280" s="98"/>
      <c r="E280" s="275"/>
    </row>
    <row r="281" spans="1:5" ht="15">
      <c r="A281" s="129"/>
      <c r="B281" s="273"/>
      <c r="C281" s="98"/>
      <c r="D281" s="98"/>
      <c r="E281" s="275"/>
    </row>
    <row r="282" spans="1:5" ht="15">
      <c r="A282" s="129"/>
      <c r="B282" s="273"/>
      <c r="C282" s="98"/>
      <c r="D282" s="98"/>
      <c r="E282" s="275"/>
    </row>
    <row r="283" spans="1:5" ht="15">
      <c r="A283" s="129"/>
      <c r="B283" s="273"/>
      <c r="C283" s="98"/>
      <c r="D283" s="98"/>
      <c r="E283" s="275"/>
    </row>
    <row r="284" spans="1:5" ht="15">
      <c r="A284" s="129"/>
      <c r="B284" s="273"/>
      <c r="C284" s="98"/>
      <c r="D284" s="98"/>
      <c r="E284" s="275"/>
    </row>
    <row r="285" spans="1:5" ht="15">
      <c r="A285" s="129"/>
      <c r="B285" s="273"/>
      <c r="C285" s="98"/>
      <c r="D285" s="98"/>
      <c r="E285" s="275"/>
    </row>
    <row r="286" spans="1:5" ht="15">
      <c r="A286" s="129"/>
      <c r="B286" s="273"/>
      <c r="C286" s="98"/>
      <c r="D286" s="98"/>
      <c r="E286" s="275"/>
    </row>
    <row r="287" spans="1:5" ht="15">
      <c r="A287" s="129"/>
      <c r="B287" s="273"/>
      <c r="C287" s="98"/>
      <c r="D287" s="98"/>
      <c r="E287" s="275"/>
    </row>
    <row r="288" spans="1:5" ht="15">
      <c r="A288" s="129"/>
      <c r="B288" s="273"/>
      <c r="C288" s="98"/>
      <c r="D288" s="98"/>
      <c r="E288" s="275"/>
    </row>
    <row r="289" spans="1:5" ht="15">
      <c r="A289" s="129"/>
      <c r="B289" s="273"/>
      <c r="C289" s="98"/>
      <c r="D289" s="98"/>
      <c r="E289" s="275"/>
    </row>
    <row r="290" spans="1:5" ht="15">
      <c r="A290" s="129"/>
      <c r="B290" s="273"/>
      <c r="C290" s="98"/>
      <c r="D290" s="98"/>
      <c r="E290" s="275"/>
    </row>
    <row r="291" spans="1:5" ht="15">
      <c r="A291" s="129"/>
      <c r="B291" s="273"/>
      <c r="C291" s="98"/>
      <c r="D291" s="98"/>
      <c r="E291" s="275"/>
    </row>
    <row r="292" spans="1:5" ht="15">
      <c r="A292" s="129"/>
      <c r="B292" s="273"/>
      <c r="C292" s="98"/>
      <c r="D292" s="98"/>
      <c r="E292" s="275"/>
    </row>
    <row r="293" spans="1:5" ht="15">
      <c r="A293" s="129"/>
      <c r="B293" s="273"/>
      <c r="C293" s="98"/>
      <c r="D293" s="98"/>
      <c r="E293" s="275"/>
    </row>
    <row r="294" spans="1:5" ht="15">
      <c r="A294" s="129"/>
      <c r="B294" s="273"/>
      <c r="C294" s="98"/>
      <c r="D294" s="98"/>
      <c r="E294" s="275"/>
    </row>
    <row r="295" spans="1:5" ht="15">
      <c r="A295" s="129"/>
      <c r="B295" s="273"/>
      <c r="C295" s="98"/>
      <c r="D295" s="98"/>
      <c r="E295" s="275"/>
    </row>
    <row r="296" spans="1:5" ht="15">
      <c r="A296" s="129"/>
      <c r="B296" s="273"/>
      <c r="C296" s="98"/>
      <c r="D296" s="98"/>
      <c r="E296" s="275"/>
    </row>
    <row r="297" spans="1:5" ht="15">
      <c r="A297" s="129"/>
      <c r="B297" s="273"/>
      <c r="C297" s="98"/>
      <c r="D297" s="98"/>
      <c r="E297" s="275"/>
    </row>
    <row r="298" spans="1:5" ht="15">
      <c r="A298" s="129"/>
      <c r="B298" s="273"/>
      <c r="C298" s="98"/>
      <c r="D298" s="98"/>
      <c r="E298" s="275"/>
    </row>
    <row r="299" spans="1:5" ht="15">
      <c r="A299" s="129"/>
      <c r="B299" s="273"/>
      <c r="C299" s="98"/>
      <c r="D299" s="98"/>
      <c r="E299" s="275"/>
    </row>
    <row r="300" spans="1:5" ht="15">
      <c r="A300" s="129"/>
      <c r="B300" s="273"/>
      <c r="C300" s="98"/>
      <c r="D300" s="98"/>
      <c r="E300" s="275"/>
    </row>
    <row r="301" spans="1:5" ht="15">
      <c r="A301" s="129"/>
      <c r="B301" s="273"/>
      <c r="C301" s="98"/>
      <c r="D301" s="98"/>
      <c r="E301" s="275"/>
    </row>
    <row r="302" spans="1:5" ht="15">
      <c r="A302" s="129"/>
      <c r="B302" s="273"/>
      <c r="C302" s="98"/>
      <c r="D302" s="98"/>
      <c r="E302" s="275"/>
    </row>
    <row r="303" spans="1:5" ht="15">
      <c r="A303" s="129"/>
      <c r="B303" s="273"/>
      <c r="C303" s="98"/>
      <c r="D303" s="98"/>
      <c r="E303" s="275"/>
    </row>
    <row r="304" spans="1:5" ht="15">
      <c r="A304" s="129"/>
      <c r="B304" s="273"/>
      <c r="C304" s="98"/>
      <c r="D304" s="98"/>
      <c r="E304" s="275"/>
    </row>
    <row r="305" spans="1:5" ht="15">
      <c r="A305" s="129"/>
      <c r="B305" s="273"/>
      <c r="C305" s="98"/>
      <c r="D305" s="98"/>
      <c r="E305" s="275"/>
    </row>
    <row r="306" spans="1:5" ht="15">
      <c r="A306" s="129"/>
      <c r="B306" s="273"/>
      <c r="C306" s="98"/>
      <c r="D306" s="98"/>
      <c r="E306" s="275"/>
    </row>
    <row r="307" spans="1:5" ht="15">
      <c r="A307" s="129"/>
      <c r="B307" s="273"/>
      <c r="C307" s="98"/>
      <c r="D307" s="98"/>
      <c r="E307" s="275"/>
    </row>
    <row r="308" spans="1:5" ht="15">
      <c r="A308" s="129"/>
      <c r="B308" s="273"/>
      <c r="C308" s="98"/>
      <c r="D308" s="98"/>
      <c r="E308" s="275"/>
    </row>
    <row r="309" spans="1:5" ht="15">
      <c r="A309" s="129"/>
      <c r="B309" s="273"/>
      <c r="C309" s="98"/>
      <c r="D309" s="98"/>
      <c r="E309" s="275"/>
    </row>
    <row r="310" spans="1:5" ht="15">
      <c r="A310" s="129"/>
      <c r="B310" s="273"/>
      <c r="C310" s="98"/>
      <c r="D310" s="98"/>
      <c r="E310" s="275"/>
    </row>
    <row r="311" spans="1:5" ht="15">
      <c r="A311" s="129"/>
      <c r="B311" s="273"/>
      <c r="C311" s="98"/>
      <c r="D311" s="98"/>
      <c r="E311" s="275"/>
    </row>
    <row r="312" spans="1:5" ht="15">
      <c r="A312" s="129"/>
      <c r="B312" s="273"/>
      <c r="C312" s="98"/>
      <c r="D312" s="98"/>
      <c r="E312" s="275"/>
    </row>
    <row r="313" spans="1:5" ht="15">
      <c r="A313" s="129"/>
      <c r="B313" s="273"/>
      <c r="C313" s="98"/>
      <c r="D313" s="98"/>
      <c r="E313" s="275"/>
    </row>
    <row r="314" spans="1:5" ht="15">
      <c r="A314" s="129"/>
      <c r="B314" s="273"/>
      <c r="C314" s="98"/>
      <c r="D314" s="98"/>
      <c r="E314" s="275"/>
    </row>
    <row r="315" spans="1:5" ht="15">
      <c r="A315" s="129"/>
      <c r="B315" s="273"/>
      <c r="C315" s="98"/>
      <c r="D315" s="98"/>
      <c r="E315" s="275"/>
    </row>
    <row r="316" spans="1:5" ht="15">
      <c r="A316" s="129"/>
      <c r="B316" s="273"/>
      <c r="C316" s="98"/>
      <c r="D316" s="98"/>
      <c r="E316" s="275"/>
    </row>
    <row r="317" spans="1:5" ht="15">
      <c r="A317" s="129"/>
      <c r="B317" s="273"/>
      <c r="C317" s="98"/>
      <c r="D317" s="98"/>
      <c r="E317" s="275"/>
    </row>
    <row r="318" spans="1:5" ht="15">
      <c r="A318" s="129"/>
      <c r="B318" s="273"/>
      <c r="C318" s="98"/>
      <c r="D318" s="98"/>
      <c r="E318" s="275"/>
    </row>
    <row r="319" spans="1:5" ht="15">
      <c r="A319" s="129"/>
      <c r="B319" s="273"/>
      <c r="C319" s="98"/>
      <c r="D319" s="98"/>
      <c r="E319" s="275"/>
    </row>
    <row r="320" spans="1:5" ht="15">
      <c r="A320" s="129"/>
      <c r="B320" s="273"/>
      <c r="C320" s="98"/>
      <c r="D320" s="98"/>
      <c r="E320" s="275"/>
    </row>
    <row r="321" spans="1:5" ht="15">
      <c r="A321" s="129"/>
      <c r="B321" s="273"/>
      <c r="C321" s="98"/>
      <c r="D321" s="98"/>
      <c r="E321" s="275"/>
    </row>
    <row r="322" spans="1:5" ht="15">
      <c r="A322" s="129"/>
      <c r="B322" s="273"/>
      <c r="C322" s="98"/>
      <c r="D322" s="98"/>
      <c r="E322" s="275"/>
    </row>
    <row r="323" spans="1:5" ht="15">
      <c r="A323" s="129"/>
      <c r="B323" s="273"/>
      <c r="C323" s="98"/>
      <c r="D323" s="98"/>
      <c r="E323" s="275"/>
    </row>
    <row r="324" spans="1:5" ht="15">
      <c r="A324" s="129"/>
      <c r="B324" s="273"/>
      <c r="C324" s="98"/>
      <c r="D324" s="98"/>
      <c r="E324" s="275"/>
    </row>
    <row r="325" spans="1:5" ht="15">
      <c r="A325" s="129"/>
      <c r="B325" s="273"/>
      <c r="C325" s="98"/>
      <c r="D325" s="98"/>
      <c r="E325" s="275"/>
    </row>
    <row r="326" spans="1:5" ht="15">
      <c r="A326" s="129"/>
      <c r="B326" s="273"/>
      <c r="C326" s="98"/>
      <c r="D326" s="98"/>
      <c r="E326" s="275"/>
    </row>
    <row r="327" spans="1:5" ht="15">
      <c r="A327" s="129"/>
      <c r="B327" s="273"/>
      <c r="C327" s="98"/>
      <c r="D327" s="98"/>
      <c r="E327" s="275"/>
    </row>
    <row r="328" spans="1:5" ht="15">
      <c r="A328" s="129"/>
      <c r="B328" s="273"/>
      <c r="C328" s="98"/>
      <c r="D328" s="98"/>
      <c r="E328" s="275"/>
    </row>
    <row r="329" spans="1:5" ht="15">
      <c r="A329" s="129"/>
      <c r="B329" s="273"/>
      <c r="C329" s="98"/>
      <c r="D329" s="98"/>
      <c r="E329" s="275"/>
    </row>
    <row r="330" spans="1:5" ht="15">
      <c r="A330" s="129"/>
      <c r="B330" s="273"/>
      <c r="C330" s="98"/>
      <c r="D330" s="98"/>
      <c r="E330" s="275"/>
    </row>
    <row r="331" spans="1:5" ht="15">
      <c r="A331" s="129"/>
      <c r="B331" s="273"/>
      <c r="C331" s="98"/>
      <c r="D331" s="98"/>
      <c r="E331" s="275"/>
    </row>
    <row r="332" spans="1:5" ht="15">
      <c r="A332" s="129"/>
      <c r="B332" s="273"/>
      <c r="C332" s="98"/>
      <c r="D332" s="98"/>
      <c r="E332" s="275"/>
    </row>
    <row r="333" spans="1:5" ht="15">
      <c r="A333" s="129"/>
      <c r="B333" s="273"/>
      <c r="C333" s="98"/>
      <c r="D333" s="98"/>
      <c r="E333" s="275"/>
    </row>
    <row r="334" spans="1:5" ht="15">
      <c r="A334" s="129"/>
      <c r="B334" s="273"/>
      <c r="C334" s="98"/>
      <c r="D334" s="98"/>
      <c r="E334" s="275"/>
    </row>
    <row r="335" spans="1:5" ht="15">
      <c r="A335" s="129"/>
      <c r="B335" s="273"/>
      <c r="C335" s="98"/>
      <c r="D335" s="98"/>
      <c r="E335" s="275"/>
    </row>
    <row r="336" spans="1:5" ht="15">
      <c r="A336" s="129"/>
      <c r="B336" s="273"/>
      <c r="C336" s="98"/>
      <c r="D336" s="98"/>
      <c r="E336" s="275"/>
    </row>
    <row r="337" spans="1:5" ht="15">
      <c r="A337" s="129"/>
      <c r="B337" s="273"/>
      <c r="C337" s="98"/>
      <c r="D337" s="98"/>
      <c r="E337" s="275"/>
    </row>
    <row r="338" spans="1:5" ht="15">
      <c r="A338" s="129"/>
      <c r="B338" s="273"/>
      <c r="C338" s="98"/>
      <c r="D338" s="98"/>
      <c r="E338" s="275"/>
    </row>
    <row r="339" spans="1:5" ht="15">
      <c r="A339" s="129"/>
      <c r="B339" s="273"/>
      <c r="C339" s="98"/>
      <c r="D339" s="98"/>
      <c r="E339" s="275"/>
    </row>
    <row r="340" spans="1:5" ht="15">
      <c r="A340" s="129"/>
      <c r="B340" s="273"/>
      <c r="C340" s="98"/>
      <c r="D340" s="98"/>
      <c r="E340" s="275"/>
    </row>
    <row r="341" spans="1:5" ht="15">
      <c r="A341" s="129"/>
      <c r="B341" s="273"/>
      <c r="C341" s="98"/>
      <c r="D341" s="98"/>
      <c r="E341" s="275"/>
    </row>
    <row r="342" spans="1:5" ht="15">
      <c r="A342" s="129"/>
      <c r="B342" s="273"/>
      <c r="C342" s="98"/>
      <c r="D342" s="98"/>
      <c r="E342" s="275"/>
    </row>
    <row r="343" spans="1:5" ht="15">
      <c r="A343" s="129"/>
      <c r="B343" s="273"/>
      <c r="C343" s="98"/>
      <c r="D343" s="98"/>
      <c r="E343" s="275"/>
    </row>
    <row r="344" spans="1:5" ht="15">
      <c r="A344" s="129"/>
      <c r="B344" s="273"/>
      <c r="C344" s="98"/>
      <c r="D344" s="98"/>
      <c r="E344" s="275"/>
    </row>
    <row r="345" spans="1:5" ht="15">
      <c r="A345" s="129"/>
      <c r="B345" s="273"/>
      <c r="C345" s="98"/>
      <c r="D345" s="98"/>
      <c r="E345" s="275"/>
    </row>
    <row r="346" spans="1:5" ht="15">
      <c r="A346" s="129"/>
      <c r="B346" s="273"/>
      <c r="C346" s="98"/>
      <c r="D346" s="98"/>
      <c r="E346" s="275"/>
    </row>
    <row r="347" spans="1:5" ht="15">
      <c r="A347" s="129"/>
      <c r="B347" s="273"/>
      <c r="C347" s="98"/>
      <c r="D347" s="98"/>
      <c r="E347" s="275"/>
    </row>
    <row r="348" spans="1:5" ht="15">
      <c r="A348" s="129"/>
      <c r="B348" s="273"/>
      <c r="C348" s="98"/>
      <c r="D348" s="98"/>
      <c r="E348" s="275"/>
    </row>
    <row r="349" spans="1:5" ht="15">
      <c r="A349" s="129"/>
      <c r="B349" s="273"/>
      <c r="C349" s="98"/>
      <c r="D349" s="98"/>
      <c r="E349" s="275"/>
    </row>
    <row r="350" spans="1:5" ht="15">
      <c r="A350" s="129"/>
      <c r="B350" s="273"/>
      <c r="C350" s="98"/>
      <c r="D350" s="98"/>
      <c r="E350" s="275"/>
    </row>
    <row r="351" spans="1:5" ht="15">
      <c r="A351" s="129"/>
      <c r="B351" s="273"/>
      <c r="C351" s="98"/>
      <c r="D351" s="98"/>
      <c r="E351" s="275"/>
    </row>
    <row r="352" spans="1:5" ht="15">
      <c r="A352" s="129"/>
      <c r="B352" s="273"/>
      <c r="C352" s="98"/>
      <c r="D352" s="98"/>
      <c r="E352" s="275"/>
    </row>
    <row r="353" spans="1:5" ht="15">
      <c r="A353" s="129"/>
      <c r="B353" s="273"/>
      <c r="C353" s="98"/>
      <c r="D353" s="98"/>
      <c r="E353" s="275"/>
    </row>
    <row r="354" spans="1:5" ht="15">
      <c r="A354" s="129"/>
      <c r="B354" s="273"/>
      <c r="C354" s="98"/>
      <c r="D354" s="98"/>
      <c r="E354" s="275"/>
    </row>
    <row r="355" spans="1:5" ht="15">
      <c r="A355" s="129"/>
      <c r="B355" s="273"/>
      <c r="C355" s="98"/>
      <c r="D355" s="98"/>
      <c r="E355" s="275"/>
    </row>
    <row r="356" spans="1:5" ht="15">
      <c r="A356" s="129"/>
      <c r="B356" s="273"/>
      <c r="C356" s="98"/>
      <c r="D356" s="98"/>
      <c r="E356" s="275"/>
    </row>
    <row r="357" spans="1:5" ht="15">
      <c r="A357" s="129"/>
      <c r="B357" s="273"/>
      <c r="C357" s="98"/>
      <c r="D357" s="98"/>
      <c r="E357" s="275"/>
    </row>
    <row r="358" spans="1:5" ht="15">
      <c r="A358" s="129"/>
      <c r="B358" s="273"/>
      <c r="C358" s="98"/>
      <c r="D358" s="98"/>
      <c r="E358" s="275"/>
    </row>
    <row r="359" spans="1:5" ht="15">
      <c r="A359" s="129"/>
      <c r="B359" s="273"/>
      <c r="C359" s="98"/>
      <c r="D359" s="98"/>
      <c r="E359" s="275"/>
    </row>
    <row r="360" spans="1:5" ht="15">
      <c r="A360" s="129"/>
      <c r="B360" s="273"/>
      <c r="C360" s="98"/>
      <c r="D360" s="98"/>
      <c r="E360" s="275"/>
    </row>
    <row r="361" spans="1:5" ht="15">
      <c r="A361" s="129"/>
      <c r="B361" s="273"/>
      <c r="C361" s="98"/>
      <c r="D361" s="98"/>
      <c r="E361" s="275"/>
    </row>
    <row r="362" spans="1:5" ht="15">
      <c r="A362" s="129"/>
      <c r="B362" s="273"/>
      <c r="C362" s="98"/>
      <c r="D362" s="98"/>
      <c r="E362" s="275"/>
    </row>
    <row r="363" spans="1:5" ht="15">
      <c r="A363" s="129"/>
      <c r="B363" s="273"/>
      <c r="C363" s="98"/>
      <c r="D363" s="98"/>
      <c r="E363" s="275"/>
    </row>
    <row r="364" spans="1:5" ht="15">
      <c r="A364" s="129"/>
      <c r="B364" s="273"/>
      <c r="C364" s="98"/>
      <c r="D364" s="98"/>
      <c r="E364" s="275"/>
    </row>
    <row r="365" spans="1:5" ht="15">
      <c r="A365" s="129"/>
      <c r="B365" s="273"/>
      <c r="C365" s="98"/>
      <c r="D365" s="98"/>
      <c r="E365" s="275"/>
    </row>
    <row r="366" spans="1:5" ht="15">
      <c r="A366" s="129"/>
      <c r="B366" s="273"/>
      <c r="C366" s="98"/>
      <c r="D366" s="98"/>
      <c r="E366" s="275"/>
    </row>
    <row r="367" spans="1:5" ht="15">
      <c r="A367" s="129"/>
      <c r="B367" s="273"/>
      <c r="C367" s="98"/>
      <c r="D367" s="98"/>
      <c r="E367" s="275"/>
    </row>
    <row r="368" spans="1:5" ht="15">
      <c r="A368" s="129"/>
      <c r="B368" s="273"/>
      <c r="C368" s="98"/>
      <c r="D368" s="98"/>
      <c r="E368" s="275"/>
    </row>
    <row r="369" spans="1:5" ht="15">
      <c r="A369" s="129"/>
      <c r="B369" s="273"/>
      <c r="C369" s="98"/>
      <c r="D369" s="98"/>
      <c r="E369" s="275"/>
    </row>
    <row r="370" spans="1:5" ht="15">
      <c r="A370" s="129"/>
      <c r="B370" s="273"/>
      <c r="C370" s="98"/>
      <c r="D370" s="98"/>
      <c r="E370" s="275"/>
    </row>
    <row r="371" spans="1:5" ht="15">
      <c r="A371" s="129"/>
      <c r="B371" s="273"/>
      <c r="C371" s="98"/>
      <c r="D371" s="98"/>
      <c r="E371" s="275"/>
    </row>
    <row r="372" spans="1:5" ht="15">
      <c r="A372" s="129"/>
      <c r="B372" s="273"/>
      <c r="C372" s="98"/>
      <c r="D372" s="98"/>
      <c r="E372" s="275"/>
    </row>
    <row r="373" spans="1:5" ht="15">
      <c r="A373" s="129"/>
      <c r="B373" s="273"/>
      <c r="C373" s="98"/>
      <c r="D373" s="98"/>
      <c r="E373" s="275"/>
    </row>
    <row r="374" spans="1:5" ht="15">
      <c r="A374" s="129"/>
      <c r="B374" s="273"/>
      <c r="C374" s="98"/>
      <c r="D374" s="98"/>
      <c r="E374" s="275"/>
    </row>
    <row r="375" spans="1:5" ht="15">
      <c r="A375" s="129"/>
      <c r="B375" s="273"/>
      <c r="C375" s="98"/>
      <c r="D375" s="98"/>
      <c r="E375" s="275"/>
    </row>
    <row r="376" spans="1:5" ht="15">
      <c r="A376" s="129"/>
      <c r="B376" s="273"/>
      <c r="C376" s="98"/>
      <c r="D376" s="98"/>
      <c r="E376" s="275"/>
    </row>
    <row r="377" spans="1:5" ht="15">
      <c r="A377" s="129"/>
      <c r="B377" s="273"/>
      <c r="C377" s="98"/>
      <c r="D377" s="98"/>
      <c r="E377" s="275"/>
    </row>
    <row r="378" spans="1:5" ht="15">
      <c r="A378" s="129"/>
      <c r="B378" s="273"/>
      <c r="C378" s="98"/>
      <c r="D378" s="98"/>
      <c r="E378" s="275"/>
    </row>
    <row r="379" spans="1:5" ht="15">
      <c r="A379" s="129"/>
      <c r="B379" s="273"/>
      <c r="C379" s="98"/>
      <c r="D379" s="98"/>
      <c r="E379" s="275"/>
    </row>
    <row r="380" spans="1:5" ht="15">
      <c r="A380" s="129"/>
      <c r="B380" s="273"/>
      <c r="C380" s="98"/>
      <c r="D380" s="98"/>
      <c r="E380" s="275"/>
    </row>
    <row r="381" spans="1:5" ht="15">
      <c r="A381" s="129"/>
      <c r="B381" s="273"/>
      <c r="C381" s="98"/>
      <c r="D381" s="98"/>
      <c r="E381" s="275"/>
    </row>
    <row r="382" spans="1:5" ht="15">
      <c r="A382" s="129"/>
      <c r="B382" s="273"/>
      <c r="C382" s="98"/>
      <c r="D382" s="98"/>
      <c r="E382" s="275"/>
    </row>
    <row r="383" spans="1:5" ht="15">
      <c r="A383" s="129"/>
      <c r="B383" s="273"/>
      <c r="C383" s="98"/>
      <c r="D383" s="98"/>
      <c r="E383" s="275"/>
    </row>
    <row r="384" spans="1:5" ht="15">
      <c r="A384" s="129"/>
      <c r="B384" s="273"/>
      <c r="C384" s="98"/>
      <c r="D384" s="98"/>
      <c r="E384" s="275"/>
    </row>
    <row r="385" spans="1:5" ht="15">
      <c r="A385" s="129"/>
      <c r="B385" s="273"/>
      <c r="C385" s="98"/>
      <c r="D385" s="98"/>
      <c r="E385" s="275"/>
    </row>
    <row r="386" spans="1:5" ht="15">
      <c r="A386" s="129"/>
      <c r="B386" s="273"/>
      <c r="C386" s="98"/>
      <c r="D386" s="98"/>
      <c r="E386" s="275"/>
    </row>
    <row r="387" spans="1:5" ht="15">
      <c r="A387" s="129"/>
      <c r="B387" s="273"/>
      <c r="C387" s="98"/>
      <c r="D387" s="98"/>
      <c r="E387" s="275"/>
    </row>
    <row r="388" spans="1:5" ht="15">
      <c r="A388" s="129"/>
      <c r="B388" s="273"/>
      <c r="C388" s="98"/>
      <c r="D388" s="98"/>
      <c r="E388" s="275"/>
    </row>
    <row r="389" spans="1:5" ht="15">
      <c r="A389" s="129"/>
      <c r="B389" s="273"/>
      <c r="C389" s="98"/>
      <c r="D389" s="98"/>
      <c r="E389" s="275"/>
    </row>
    <row r="390" spans="1:5" ht="15">
      <c r="A390" s="129"/>
      <c r="B390" s="273"/>
      <c r="C390" s="98"/>
      <c r="D390" s="98"/>
      <c r="E390" s="275"/>
    </row>
    <row r="391" spans="1:5" ht="15">
      <c r="A391" s="129"/>
      <c r="B391" s="273"/>
      <c r="C391" s="98"/>
      <c r="D391" s="98"/>
      <c r="E391" s="275"/>
    </row>
    <row r="392" spans="1:5" ht="15">
      <c r="A392" s="129"/>
      <c r="B392" s="273"/>
      <c r="C392" s="98"/>
      <c r="D392" s="98"/>
      <c r="E392" s="275"/>
    </row>
    <row r="393" spans="1:5" ht="15">
      <c r="A393" s="129"/>
      <c r="B393" s="273"/>
      <c r="C393" s="98"/>
      <c r="D393" s="98"/>
      <c r="E393" s="275"/>
    </row>
    <row r="394" spans="1:5" ht="15">
      <c r="A394" s="129"/>
      <c r="B394" s="273"/>
      <c r="C394" s="98"/>
      <c r="D394" s="98"/>
      <c r="E394" s="275"/>
    </row>
    <row r="395" spans="1:5" ht="15">
      <c r="A395" s="129"/>
      <c r="B395" s="273"/>
      <c r="C395" s="98"/>
      <c r="D395" s="98"/>
      <c r="E395" s="275"/>
    </row>
    <row r="396" spans="1:5" ht="15">
      <c r="A396" s="129"/>
      <c r="B396" s="273"/>
      <c r="C396" s="98"/>
      <c r="D396" s="98"/>
      <c r="E396" s="275"/>
    </row>
    <row r="397" spans="1:5" ht="15">
      <c r="A397" s="129"/>
      <c r="B397" s="273"/>
      <c r="C397" s="98"/>
      <c r="D397" s="98"/>
      <c r="E397" s="275"/>
    </row>
    <row r="398" spans="1:5" ht="15">
      <c r="A398" s="129"/>
      <c r="B398" s="273"/>
      <c r="C398" s="98"/>
      <c r="D398" s="98"/>
      <c r="E398" s="275"/>
    </row>
    <row r="399" spans="1:5" ht="15">
      <c r="A399" s="129"/>
      <c r="B399" s="273"/>
      <c r="C399" s="98"/>
      <c r="D399" s="98"/>
      <c r="E399" s="275"/>
    </row>
    <row r="400" spans="1:5" ht="15">
      <c r="A400" s="129"/>
      <c r="B400" s="273"/>
      <c r="C400" s="98"/>
      <c r="D400" s="98"/>
      <c r="E400" s="275"/>
    </row>
    <row r="401" spans="1:5" ht="15">
      <c r="A401" s="129"/>
      <c r="B401" s="273"/>
      <c r="C401" s="98"/>
      <c r="D401" s="98"/>
      <c r="E401" s="275"/>
    </row>
    <row r="402" spans="1:5" ht="15">
      <c r="A402" s="129"/>
      <c r="B402" s="273"/>
      <c r="C402" s="98"/>
      <c r="D402" s="98"/>
      <c r="E402" s="275"/>
    </row>
    <row r="403" spans="1:5" ht="15">
      <c r="A403" s="129"/>
      <c r="B403" s="273"/>
      <c r="C403" s="98"/>
      <c r="D403" s="98"/>
      <c r="E403" s="275"/>
    </row>
    <row r="404" spans="1:5" ht="15">
      <c r="A404" s="129"/>
      <c r="B404" s="273"/>
      <c r="C404" s="98"/>
      <c r="D404" s="98"/>
      <c r="E404" s="275"/>
    </row>
    <row r="405" spans="1:5" ht="15">
      <c r="A405" s="129"/>
      <c r="B405" s="273"/>
      <c r="C405" s="98"/>
      <c r="D405" s="98"/>
      <c r="E405" s="275"/>
    </row>
    <row r="406" spans="1:5" ht="15">
      <c r="A406" s="129"/>
      <c r="B406" s="273"/>
      <c r="C406" s="98"/>
      <c r="D406" s="98"/>
      <c r="E406" s="275"/>
    </row>
    <row r="407" spans="1:5" ht="15">
      <c r="A407" s="129"/>
      <c r="B407" s="273"/>
      <c r="C407" s="98"/>
      <c r="D407" s="98"/>
      <c r="E407" s="275"/>
    </row>
    <row r="408" spans="1:5" ht="15">
      <c r="A408" s="129"/>
      <c r="B408" s="273"/>
      <c r="C408" s="98"/>
      <c r="D408" s="98"/>
      <c r="E408" s="275"/>
    </row>
    <row r="409" spans="1:5" ht="15">
      <c r="A409" s="129"/>
      <c r="B409" s="273"/>
      <c r="C409" s="98"/>
      <c r="D409" s="98"/>
      <c r="E409" s="275"/>
    </row>
    <row r="410" spans="1:5" ht="15">
      <c r="A410" s="129"/>
      <c r="B410" s="273"/>
      <c r="C410" s="98"/>
      <c r="D410" s="98"/>
      <c r="E410" s="275"/>
    </row>
    <row r="411" spans="1:5" ht="15">
      <c r="A411" s="129"/>
      <c r="B411" s="273"/>
      <c r="C411" s="98"/>
      <c r="D411" s="98"/>
      <c r="E411" s="275"/>
    </row>
    <row r="412" spans="1:5" ht="15">
      <c r="A412" s="129"/>
      <c r="B412" s="273"/>
      <c r="C412" s="98"/>
      <c r="D412" s="98"/>
      <c r="E412" s="275"/>
    </row>
    <row r="413" spans="1:5" ht="15">
      <c r="A413" s="129"/>
      <c r="B413" s="273"/>
      <c r="C413" s="98"/>
      <c r="D413" s="98"/>
      <c r="E413" s="275"/>
    </row>
    <row r="414" spans="1:5" ht="15">
      <c r="A414" s="129"/>
      <c r="B414" s="273"/>
      <c r="C414" s="98"/>
      <c r="D414" s="98"/>
      <c r="E414" s="275"/>
    </row>
    <row r="415" spans="1:5" ht="15">
      <c r="A415" s="129"/>
      <c r="B415" s="273"/>
      <c r="C415" s="98"/>
      <c r="D415" s="98"/>
      <c r="E415" s="275"/>
    </row>
    <row r="416" spans="1:5" ht="15">
      <c r="A416" s="129"/>
      <c r="B416" s="273"/>
      <c r="C416" s="98"/>
      <c r="D416" s="98"/>
      <c r="E416" s="275"/>
    </row>
    <row r="417" spans="1:5" ht="15">
      <c r="A417" s="129"/>
      <c r="B417" s="273"/>
      <c r="C417" s="98"/>
      <c r="D417" s="98"/>
      <c r="E417" s="275"/>
    </row>
    <row r="418" spans="1:5" ht="15">
      <c r="A418" s="129"/>
      <c r="B418" s="273"/>
      <c r="C418" s="98"/>
      <c r="D418" s="98"/>
      <c r="E418" s="275"/>
    </row>
    <row r="419" spans="1:5" ht="15">
      <c r="A419" s="129"/>
      <c r="B419" s="273"/>
      <c r="C419" s="98"/>
      <c r="D419" s="98"/>
      <c r="E419" s="275"/>
    </row>
    <row r="420" spans="1:5" ht="15">
      <c r="A420" s="129"/>
      <c r="B420" s="273"/>
      <c r="C420" s="98"/>
      <c r="D420" s="98"/>
      <c r="E420" s="275"/>
    </row>
    <row r="421" spans="1:5" ht="15">
      <c r="A421" s="129"/>
      <c r="B421" s="273"/>
      <c r="C421" s="98"/>
      <c r="D421" s="98"/>
      <c r="E421" s="275"/>
    </row>
    <row r="422" spans="1:5" ht="15">
      <c r="A422" s="129"/>
      <c r="B422" s="273"/>
      <c r="C422" s="98"/>
      <c r="D422" s="98"/>
      <c r="E422" s="275"/>
    </row>
    <row r="423" spans="1:5" ht="15">
      <c r="A423" s="129"/>
      <c r="B423" s="273"/>
      <c r="C423" s="98"/>
      <c r="D423" s="98"/>
      <c r="E423" s="275"/>
    </row>
    <row r="424" spans="1:5" ht="15">
      <c r="A424" s="129"/>
      <c r="B424" s="273"/>
      <c r="C424" s="98"/>
      <c r="D424" s="98"/>
      <c r="E424" s="275"/>
    </row>
    <row r="425" spans="1:5" ht="15">
      <c r="A425" s="129"/>
      <c r="B425" s="273"/>
      <c r="C425" s="98"/>
      <c r="D425" s="98"/>
      <c r="E425" s="275"/>
    </row>
    <row r="426" spans="1:5" ht="15">
      <c r="A426" s="129"/>
      <c r="B426" s="273"/>
      <c r="C426" s="98"/>
      <c r="D426" s="98"/>
      <c r="E426" s="275"/>
    </row>
    <row r="427" spans="1:5" ht="15">
      <c r="A427" s="129"/>
      <c r="B427" s="273"/>
      <c r="C427" s="98"/>
      <c r="D427" s="98"/>
      <c r="E427" s="275"/>
    </row>
    <row r="428" spans="1:5" ht="15">
      <c r="A428" s="129"/>
      <c r="B428" s="273"/>
      <c r="C428" s="98"/>
      <c r="D428" s="98"/>
      <c r="E428" s="275"/>
    </row>
    <row r="429" spans="1:5" ht="15">
      <c r="A429" s="129"/>
      <c r="B429" s="273"/>
      <c r="C429" s="98"/>
      <c r="D429" s="98"/>
      <c r="E429" s="275"/>
    </row>
    <row r="430" spans="1:5" ht="15">
      <c r="A430" s="129"/>
      <c r="B430" s="273"/>
      <c r="C430" s="98"/>
      <c r="D430" s="98"/>
      <c r="E430" s="275"/>
    </row>
    <row r="431" spans="1:5" ht="15">
      <c r="A431" s="129"/>
      <c r="B431" s="273"/>
      <c r="C431" s="98"/>
      <c r="D431" s="98"/>
      <c r="E431" s="275"/>
    </row>
    <row r="432" spans="1:5" ht="15">
      <c r="A432" s="129"/>
      <c r="B432" s="273"/>
      <c r="C432" s="98"/>
      <c r="D432" s="98"/>
      <c r="E432" s="275"/>
    </row>
    <row r="433" spans="1:5" ht="15">
      <c r="A433" s="129"/>
      <c r="B433" s="273"/>
      <c r="C433" s="98"/>
      <c r="D433" s="98"/>
      <c r="E433" s="275"/>
    </row>
    <row r="434" spans="1:5" ht="15">
      <c r="A434" s="129"/>
      <c r="B434" s="273"/>
      <c r="C434" s="98"/>
      <c r="D434" s="98"/>
      <c r="E434" s="275"/>
    </row>
    <row r="435" spans="1:5" ht="15">
      <c r="A435" s="129"/>
      <c r="B435" s="273"/>
      <c r="C435" s="98"/>
      <c r="D435" s="98"/>
      <c r="E435" s="275"/>
    </row>
    <row r="436" spans="1:5" ht="15">
      <c r="A436" s="129"/>
      <c r="B436" s="273"/>
      <c r="C436" s="98"/>
      <c r="D436" s="98"/>
      <c r="E436" s="275"/>
    </row>
    <row r="437" spans="1:5" ht="15">
      <c r="A437" s="129"/>
      <c r="B437" s="273"/>
      <c r="C437" s="98"/>
      <c r="D437" s="98"/>
      <c r="E437" s="275"/>
    </row>
    <row r="438" spans="1:5" ht="15">
      <c r="A438" s="129"/>
      <c r="B438" s="273"/>
      <c r="C438" s="98"/>
      <c r="D438" s="98"/>
      <c r="E438" s="275"/>
    </row>
    <row r="439" spans="1:5" ht="15">
      <c r="A439" s="129"/>
      <c r="B439" s="273"/>
      <c r="C439" s="98"/>
      <c r="D439" s="98"/>
      <c r="E439" s="275"/>
    </row>
    <row r="440" spans="1:5" ht="15">
      <c r="A440" s="129"/>
      <c r="B440" s="273"/>
      <c r="C440" s="98"/>
      <c r="D440" s="98"/>
      <c r="E440" s="275"/>
    </row>
    <row r="441" spans="1:5" ht="15">
      <c r="A441" s="129"/>
      <c r="B441" s="273"/>
      <c r="C441" s="98"/>
      <c r="D441" s="98"/>
      <c r="E441" s="275"/>
    </row>
    <row r="442" spans="1:5" ht="15">
      <c r="A442" s="129"/>
      <c r="B442" s="273"/>
      <c r="C442" s="98"/>
      <c r="D442" s="98"/>
      <c r="E442" s="275"/>
    </row>
    <row r="443" spans="1:5" ht="15">
      <c r="A443" s="129"/>
      <c r="B443" s="273"/>
      <c r="C443" s="98"/>
      <c r="D443" s="98"/>
      <c r="E443" s="275"/>
    </row>
    <row r="444" spans="1:5" ht="15">
      <c r="A444" s="129"/>
      <c r="B444" s="273"/>
      <c r="C444" s="98"/>
      <c r="D444" s="98"/>
      <c r="E444" s="275"/>
    </row>
    <row r="445" spans="1:5" ht="15">
      <c r="A445" s="129"/>
      <c r="B445" s="273"/>
      <c r="C445" s="98"/>
      <c r="D445" s="98"/>
      <c r="E445" s="275"/>
    </row>
    <row r="446" spans="1:5" ht="15">
      <c r="A446" s="129"/>
      <c r="B446" s="273"/>
      <c r="C446" s="98"/>
      <c r="D446" s="98"/>
      <c r="E446" s="275"/>
    </row>
    <row r="447" spans="1:5" ht="15">
      <c r="A447" s="129"/>
      <c r="B447" s="273"/>
      <c r="C447" s="98"/>
      <c r="D447" s="98"/>
      <c r="E447" s="275"/>
    </row>
    <row r="448" spans="1:5" ht="15">
      <c r="A448" s="129"/>
      <c r="B448" s="273"/>
      <c r="C448" s="98"/>
      <c r="D448" s="98"/>
      <c r="E448" s="275"/>
    </row>
    <row r="449" spans="1:5" ht="15">
      <c r="A449" s="129"/>
      <c r="B449" s="273"/>
      <c r="C449" s="98"/>
      <c r="D449" s="98"/>
      <c r="E449" s="275"/>
    </row>
    <row r="450" spans="1:5" ht="15">
      <c r="A450" s="129"/>
      <c r="B450" s="273"/>
      <c r="C450" s="98"/>
      <c r="D450" s="98"/>
      <c r="E450" s="275"/>
    </row>
    <row r="451" spans="1:5" ht="15">
      <c r="A451" s="129"/>
      <c r="B451" s="273"/>
      <c r="C451" s="98"/>
      <c r="D451" s="98"/>
      <c r="E451" s="275"/>
    </row>
    <row r="452" spans="1:5" ht="15">
      <c r="A452" s="129"/>
      <c r="B452" s="273"/>
      <c r="C452" s="98"/>
      <c r="D452" s="98"/>
      <c r="E452" s="275"/>
    </row>
    <row r="453" spans="1:5" ht="15">
      <c r="A453" s="129"/>
      <c r="B453" s="273"/>
      <c r="C453" s="98"/>
      <c r="D453" s="98"/>
      <c r="E453" s="275"/>
    </row>
    <row r="454" spans="1:5" ht="15">
      <c r="A454" s="129"/>
      <c r="B454" s="273"/>
      <c r="C454" s="98"/>
      <c r="D454" s="98"/>
      <c r="E454" s="275"/>
    </row>
    <row r="455" spans="1:5" ht="15">
      <c r="A455" s="129"/>
      <c r="B455" s="273"/>
      <c r="C455" s="98"/>
      <c r="D455" s="98"/>
      <c r="E455" s="275"/>
    </row>
    <row r="456" spans="1:5" ht="15">
      <c r="A456" s="129"/>
      <c r="B456" s="273"/>
      <c r="C456" s="98"/>
      <c r="D456" s="98"/>
      <c r="E456" s="275"/>
    </row>
    <row r="457" spans="1:5" ht="15">
      <c r="A457" s="129"/>
      <c r="B457" s="273"/>
      <c r="C457" s="98"/>
      <c r="D457" s="98"/>
      <c r="E457" s="275"/>
    </row>
    <row r="458" spans="1:5" ht="15">
      <c r="A458" s="129"/>
      <c r="B458" s="273"/>
      <c r="C458" s="98"/>
      <c r="D458" s="98"/>
      <c r="E458" s="275"/>
    </row>
    <row r="459" spans="1:5" ht="15">
      <c r="A459" s="129"/>
      <c r="B459" s="273"/>
      <c r="C459" s="98"/>
      <c r="D459" s="98"/>
      <c r="E459" s="275"/>
    </row>
    <row r="460" spans="1:5" ht="15">
      <c r="A460" s="129"/>
      <c r="B460" s="273"/>
      <c r="C460" s="98"/>
      <c r="D460" s="98"/>
      <c r="E460" s="275"/>
    </row>
    <row r="461" spans="1:5" ht="15">
      <c r="A461" s="129"/>
      <c r="B461" s="273"/>
      <c r="C461" s="98"/>
      <c r="D461" s="98"/>
      <c r="E461" s="275"/>
    </row>
    <row r="462" spans="1:5" ht="15">
      <c r="A462" s="129"/>
      <c r="B462" s="273"/>
      <c r="C462" s="98"/>
      <c r="D462" s="98"/>
      <c r="E462" s="275"/>
    </row>
    <row r="463" spans="1:5" ht="15">
      <c r="A463" s="129"/>
      <c r="B463" s="273"/>
      <c r="C463" s="98"/>
      <c r="D463" s="98"/>
      <c r="E463" s="275"/>
    </row>
    <row r="464" spans="1:5" ht="15">
      <c r="A464" s="129"/>
      <c r="B464" s="273"/>
      <c r="C464" s="98"/>
      <c r="D464" s="98"/>
      <c r="E464" s="275"/>
    </row>
    <row r="465" spans="1:5" ht="15">
      <c r="A465" s="129"/>
      <c r="B465" s="273"/>
      <c r="C465" s="98"/>
      <c r="D465" s="98"/>
      <c r="E465" s="275"/>
    </row>
    <row r="466" spans="1:5" ht="15">
      <c r="A466" s="129"/>
      <c r="B466" s="273"/>
      <c r="C466" s="98"/>
      <c r="D466" s="98"/>
      <c r="E466" s="275"/>
    </row>
    <row r="467" spans="1:5" ht="15">
      <c r="A467" s="129"/>
      <c r="B467" s="273"/>
      <c r="C467" s="98"/>
      <c r="D467" s="98"/>
      <c r="E467" s="275"/>
    </row>
    <row r="468" spans="1:5" ht="15">
      <c r="A468" s="129"/>
      <c r="B468" s="273"/>
      <c r="C468" s="98"/>
      <c r="D468" s="98"/>
      <c r="E468" s="275"/>
    </row>
    <row r="469" spans="1:5" ht="15">
      <c r="A469" s="129"/>
      <c r="B469" s="273"/>
      <c r="C469" s="98"/>
      <c r="D469" s="98"/>
      <c r="E469" s="275"/>
    </row>
    <row r="470" spans="1:5" ht="15">
      <c r="A470" s="129"/>
      <c r="B470" s="273"/>
      <c r="C470" s="98"/>
      <c r="D470" s="98"/>
      <c r="E470" s="275"/>
    </row>
    <row r="471" spans="1:5" ht="15">
      <c r="A471" s="129"/>
      <c r="B471" s="273"/>
      <c r="C471" s="98"/>
      <c r="D471" s="98"/>
      <c r="E471" s="275"/>
    </row>
    <row r="472" spans="1:5" ht="15">
      <c r="A472" s="129"/>
      <c r="B472" s="273"/>
      <c r="C472" s="98"/>
      <c r="D472" s="98"/>
      <c r="E472" s="275"/>
    </row>
    <row r="473" spans="1:5" ht="15">
      <c r="A473" s="129"/>
      <c r="B473" s="273"/>
      <c r="C473" s="98"/>
      <c r="D473" s="98"/>
      <c r="E473" s="275"/>
    </row>
    <row r="474" spans="1:5" ht="15">
      <c r="A474" s="129"/>
      <c r="B474" s="273"/>
      <c r="C474" s="98"/>
      <c r="D474" s="98"/>
      <c r="E474" s="275"/>
    </row>
    <row r="475" spans="1:5" ht="15">
      <c r="A475" s="129"/>
      <c r="B475" s="273"/>
      <c r="C475" s="98"/>
      <c r="D475" s="98"/>
      <c r="E475" s="275"/>
    </row>
    <row r="476" spans="1:5" ht="15">
      <c r="A476" s="129"/>
      <c r="B476" s="273"/>
      <c r="C476" s="98"/>
      <c r="D476" s="98"/>
      <c r="E476" s="275"/>
    </row>
    <row r="477" spans="1:5" ht="15">
      <c r="A477" s="129"/>
      <c r="B477" s="273"/>
      <c r="C477" s="98"/>
      <c r="D477" s="98"/>
      <c r="E477" s="275"/>
    </row>
    <row r="478" spans="1:5" ht="15">
      <c r="A478" s="129"/>
      <c r="B478" s="273"/>
      <c r="C478" s="98"/>
      <c r="D478" s="98"/>
      <c r="E478" s="275"/>
    </row>
    <row r="479" spans="1:5" ht="15">
      <c r="A479" s="129"/>
      <c r="B479" s="273"/>
      <c r="C479" s="98"/>
      <c r="D479" s="98"/>
      <c r="E479" s="275"/>
    </row>
    <row r="480" spans="1:5" ht="15">
      <c r="A480" s="129"/>
      <c r="B480" s="273"/>
      <c r="C480" s="98"/>
      <c r="D480" s="98"/>
      <c r="E480" s="275"/>
    </row>
    <row r="481" spans="1:5" ht="15">
      <c r="A481" s="129"/>
      <c r="B481" s="273"/>
      <c r="C481" s="98"/>
      <c r="D481" s="98"/>
      <c r="E481" s="275"/>
    </row>
    <row r="482" spans="1:5" ht="15">
      <c r="A482" s="129"/>
      <c r="B482" s="273"/>
      <c r="C482" s="98"/>
      <c r="D482" s="98"/>
      <c r="E482" s="275"/>
    </row>
    <row r="483" spans="1:5" ht="15">
      <c r="A483" s="129"/>
      <c r="B483" s="273"/>
      <c r="C483" s="98"/>
      <c r="D483" s="98"/>
      <c r="E483" s="275"/>
    </row>
    <row r="484" spans="1:5" ht="15">
      <c r="A484" s="129"/>
      <c r="B484" s="273"/>
      <c r="C484" s="98"/>
      <c r="D484" s="98"/>
      <c r="E484" s="275"/>
    </row>
    <row r="485" spans="1:5" ht="15">
      <c r="A485" s="129"/>
      <c r="B485" s="273"/>
      <c r="C485" s="98"/>
      <c r="D485" s="98"/>
      <c r="E485" s="275"/>
    </row>
    <row r="486" spans="1:5" ht="15">
      <c r="A486" s="129"/>
      <c r="B486" s="273"/>
      <c r="C486" s="98"/>
      <c r="D486" s="98"/>
      <c r="E486" s="275"/>
    </row>
    <row r="487" spans="1:5" ht="15">
      <c r="A487" s="129"/>
      <c r="B487" s="273"/>
      <c r="C487" s="98"/>
      <c r="D487" s="98"/>
      <c r="E487" s="275"/>
    </row>
    <row r="488" spans="1:5" ht="15">
      <c r="A488" s="129"/>
      <c r="B488" s="273"/>
      <c r="C488" s="98"/>
      <c r="D488" s="98"/>
      <c r="E488" s="275"/>
    </row>
    <row r="489" spans="1:5" ht="15">
      <c r="A489" s="129"/>
      <c r="B489" s="273"/>
      <c r="C489" s="98"/>
      <c r="D489" s="98"/>
      <c r="E489" s="275"/>
    </row>
    <row r="490" spans="1:5" ht="15">
      <c r="A490" s="129"/>
      <c r="B490" s="273"/>
      <c r="C490" s="98"/>
      <c r="D490" s="98"/>
      <c r="E490" s="275"/>
    </row>
    <row r="491" spans="1:5" ht="15">
      <c r="A491" s="129"/>
      <c r="B491" s="273"/>
      <c r="C491" s="98"/>
      <c r="D491" s="98"/>
      <c r="E491" s="275"/>
    </row>
    <row r="492" spans="1:5" ht="15">
      <c r="A492" s="129"/>
      <c r="B492" s="273"/>
      <c r="C492" s="98"/>
      <c r="D492" s="98"/>
      <c r="E492" s="275"/>
    </row>
    <row r="493" spans="1:5" ht="15">
      <c r="A493" s="129"/>
      <c r="B493" s="273"/>
      <c r="C493" s="98"/>
      <c r="D493" s="98"/>
      <c r="E493" s="275"/>
    </row>
    <row r="494" spans="1:5" ht="15">
      <c r="A494" s="129"/>
      <c r="B494" s="273"/>
      <c r="C494" s="98"/>
      <c r="D494" s="98"/>
      <c r="E494" s="275"/>
    </row>
    <row r="495" spans="1:5" ht="15">
      <c r="A495" s="129"/>
      <c r="B495" s="273"/>
      <c r="C495" s="98"/>
      <c r="D495" s="98"/>
      <c r="E495" s="275"/>
    </row>
    <row r="496" spans="1:5" ht="15">
      <c r="A496" s="129"/>
      <c r="B496" s="273"/>
      <c r="C496" s="98"/>
      <c r="D496" s="98"/>
      <c r="E496" s="275"/>
    </row>
    <row r="497" spans="1:5" ht="15">
      <c r="A497" s="129"/>
      <c r="B497" s="273"/>
      <c r="C497" s="98"/>
      <c r="D497" s="98"/>
      <c r="E497" s="275"/>
    </row>
    <row r="498" spans="1:5" ht="15">
      <c r="A498" s="129"/>
      <c r="B498" s="273"/>
      <c r="C498" s="98"/>
      <c r="D498" s="98"/>
      <c r="E498" s="275"/>
    </row>
    <row r="499" spans="1:5" ht="15">
      <c r="A499" s="129"/>
      <c r="B499" s="273"/>
      <c r="C499" s="98"/>
      <c r="D499" s="98"/>
      <c r="E499" s="275"/>
    </row>
    <row r="500" spans="1:5" ht="15">
      <c r="A500" s="129"/>
      <c r="B500" s="273"/>
      <c r="C500" s="98"/>
      <c r="D500" s="98"/>
      <c r="E500" s="275"/>
    </row>
    <row r="501" spans="1:5" ht="15">
      <c r="A501" s="129"/>
      <c r="B501" s="273"/>
      <c r="C501" s="98"/>
      <c r="D501" s="98"/>
      <c r="E501" s="275"/>
    </row>
    <row r="502" spans="1:5" ht="15">
      <c r="A502" s="129"/>
      <c r="B502" s="273"/>
      <c r="C502" s="98"/>
      <c r="D502" s="98"/>
      <c r="E502" s="275"/>
    </row>
    <row r="503" spans="1:5" ht="15">
      <c r="A503" s="129"/>
      <c r="B503" s="273"/>
      <c r="C503" s="98"/>
      <c r="D503" s="98"/>
      <c r="E503" s="275"/>
    </row>
    <row r="504" spans="1:5" ht="15">
      <c r="A504" s="129"/>
      <c r="B504" s="273"/>
      <c r="C504" s="98"/>
      <c r="D504" s="98"/>
      <c r="E504" s="275"/>
    </row>
    <row r="505" spans="1:5" ht="15">
      <c r="A505" s="129"/>
      <c r="B505" s="273"/>
      <c r="C505" s="98"/>
      <c r="D505" s="98"/>
      <c r="E505" s="275"/>
    </row>
    <row r="506" spans="1:5" ht="15">
      <c r="A506" s="129"/>
      <c r="B506" s="273"/>
      <c r="C506" s="98"/>
      <c r="D506" s="98"/>
      <c r="E506" s="275"/>
    </row>
    <row r="507" spans="1:5" ht="15">
      <c r="A507" s="129"/>
      <c r="B507" s="273"/>
      <c r="C507" s="98"/>
      <c r="D507" s="98"/>
      <c r="E507" s="275"/>
    </row>
    <row r="508" spans="1:5" ht="15">
      <c r="A508" s="129"/>
      <c r="B508" s="273"/>
      <c r="C508" s="98"/>
      <c r="D508" s="98"/>
      <c r="E508" s="275"/>
    </row>
    <row r="509" spans="1:5" ht="15">
      <c r="A509" s="129"/>
      <c r="B509" s="273"/>
      <c r="C509" s="98"/>
      <c r="D509" s="98"/>
      <c r="E509" s="275"/>
    </row>
    <row r="510" spans="1:5" ht="15">
      <c r="A510" s="129"/>
      <c r="B510" s="273"/>
      <c r="C510" s="98"/>
      <c r="D510" s="98"/>
      <c r="E510" s="275"/>
    </row>
    <row r="511" spans="1:5" ht="15">
      <c r="A511" s="129"/>
      <c r="B511" s="273"/>
      <c r="C511" s="98"/>
      <c r="D511" s="98"/>
      <c r="E511" s="275"/>
    </row>
    <row r="512" spans="1:5" ht="15">
      <c r="A512" s="129"/>
      <c r="B512" s="273"/>
      <c r="C512" s="98"/>
      <c r="D512" s="98"/>
      <c r="E512" s="275"/>
    </row>
    <row r="513" spans="1:5" ht="15">
      <c r="A513" s="129"/>
      <c r="B513" s="273"/>
      <c r="C513" s="98"/>
      <c r="D513" s="98"/>
      <c r="E513" s="275"/>
    </row>
    <row r="514" spans="1:5" ht="15">
      <c r="A514" s="129"/>
      <c r="B514" s="273"/>
      <c r="C514" s="98"/>
      <c r="D514" s="98"/>
      <c r="E514" s="275"/>
    </row>
    <row r="515" spans="1:5" ht="15">
      <c r="A515" s="129"/>
      <c r="B515" s="273"/>
      <c r="C515" s="98"/>
      <c r="D515" s="98"/>
      <c r="E515" s="275"/>
    </row>
    <row r="516" spans="1:5" ht="15">
      <c r="A516" s="129"/>
      <c r="B516" s="273"/>
      <c r="C516" s="98"/>
      <c r="D516" s="98"/>
      <c r="E516" s="275"/>
    </row>
    <row r="517" spans="1:5" ht="15">
      <c r="A517" s="129"/>
      <c r="B517" s="273"/>
      <c r="C517" s="98"/>
      <c r="D517" s="98"/>
      <c r="E517" s="275"/>
    </row>
    <row r="518" spans="1:5" ht="15">
      <c r="A518" s="129"/>
      <c r="B518" s="273"/>
      <c r="C518" s="98"/>
      <c r="D518" s="98"/>
      <c r="E518" s="275"/>
    </row>
    <row r="519" spans="1:5" ht="15">
      <c r="A519" s="129"/>
      <c r="B519" s="273"/>
      <c r="C519" s="98"/>
      <c r="D519" s="98"/>
      <c r="E519" s="275"/>
    </row>
    <row r="520" spans="1:5" ht="15">
      <c r="A520" s="129"/>
      <c r="B520" s="273"/>
      <c r="C520" s="98"/>
      <c r="D520" s="98"/>
      <c r="E520" s="275"/>
    </row>
    <row r="521" spans="1:5" ht="15">
      <c r="A521" s="129"/>
      <c r="B521" s="273"/>
      <c r="C521" s="98"/>
      <c r="D521" s="98"/>
      <c r="E521" s="275"/>
    </row>
    <row r="522" spans="1:5" ht="15">
      <c r="A522" s="129"/>
      <c r="B522" s="273"/>
      <c r="C522" s="98"/>
      <c r="D522" s="98"/>
      <c r="E522" s="275"/>
    </row>
    <row r="523" spans="1:5" ht="15">
      <c r="A523" s="129"/>
      <c r="B523" s="273"/>
      <c r="C523" s="98"/>
      <c r="D523" s="98"/>
      <c r="E523" s="275"/>
    </row>
    <row r="524" spans="1:5" ht="15">
      <c r="A524" s="129"/>
      <c r="B524" s="273"/>
      <c r="C524" s="98"/>
      <c r="D524" s="98"/>
      <c r="E524" s="275"/>
    </row>
    <row r="525" spans="1:5" ht="15">
      <c r="A525" s="129"/>
      <c r="B525" s="273"/>
      <c r="C525" s="98"/>
      <c r="D525" s="98"/>
      <c r="E525" s="275"/>
    </row>
    <row r="526" spans="1:5" ht="15">
      <c r="A526" s="129"/>
      <c r="B526" s="273"/>
      <c r="C526" s="98"/>
      <c r="D526" s="98"/>
      <c r="E526" s="275"/>
    </row>
    <row r="527" spans="1:5" ht="15">
      <c r="A527" s="129"/>
      <c r="B527" s="273"/>
      <c r="C527" s="98"/>
      <c r="D527" s="98"/>
      <c r="E527" s="275"/>
    </row>
    <row r="528" spans="1:5" ht="15">
      <c r="A528" s="129"/>
      <c r="B528" s="273"/>
      <c r="C528" s="98"/>
      <c r="D528" s="98"/>
      <c r="E528" s="275"/>
    </row>
    <row r="529" spans="1:5" ht="15">
      <c r="A529" s="129"/>
      <c r="B529" s="273"/>
      <c r="C529" s="98"/>
      <c r="D529" s="98"/>
      <c r="E529" s="275"/>
    </row>
    <row r="530" spans="1:5" ht="15">
      <c r="A530" s="129"/>
      <c r="B530" s="273"/>
      <c r="C530" s="98"/>
      <c r="D530" s="98"/>
      <c r="E530" s="275"/>
    </row>
    <row r="531" spans="1:5" ht="15">
      <c r="A531" s="129"/>
      <c r="B531" s="273"/>
      <c r="C531" s="98"/>
      <c r="D531" s="98"/>
      <c r="E531" s="275"/>
    </row>
    <row r="532" spans="1:5" ht="15">
      <c r="A532" s="129"/>
      <c r="B532" s="273"/>
      <c r="C532" s="98"/>
      <c r="D532" s="98"/>
      <c r="E532" s="275"/>
    </row>
    <row r="533" spans="1:5" ht="15">
      <c r="A533" s="129"/>
      <c r="B533" s="273"/>
      <c r="C533" s="98"/>
      <c r="D533" s="98"/>
      <c r="E533" s="275"/>
    </row>
    <row r="534" spans="1:5" ht="15">
      <c r="A534" s="129"/>
      <c r="B534" s="273"/>
      <c r="C534" s="98"/>
      <c r="D534" s="98"/>
      <c r="E534" s="275"/>
    </row>
    <row r="535" spans="1:5" ht="15">
      <c r="A535" s="129"/>
      <c r="B535" s="273"/>
      <c r="C535" s="98"/>
      <c r="D535" s="98"/>
      <c r="E535" s="275"/>
    </row>
    <row r="536" spans="1:5" ht="15">
      <c r="A536" s="129"/>
      <c r="B536" s="273"/>
      <c r="C536" s="98"/>
      <c r="D536" s="98"/>
      <c r="E536" s="275"/>
    </row>
    <row r="537" spans="1:5" ht="15">
      <c r="A537" s="129"/>
      <c r="B537" s="273"/>
      <c r="C537" s="98"/>
      <c r="D537" s="98"/>
      <c r="E537" s="275"/>
    </row>
    <row r="538" spans="1:5" ht="15">
      <c r="A538" s="129"/>
      <c r="B538" s="273"/>
      <c r="C538" s="98"/>
      <c r="D538" s="98"/>
      <c r="E538" s="275"/>
    </row>
    <row r="539" spans="1:5" ht="15">
      <c r="A539" s="129"/>
      <c r="B539" s="273"/>
      <c r="C539" s="98"/>
      <c r="D539" s="98"/>
      <c r="E539" s="275"/>
    </row>
    <row r="540" spans="1:5" ht="15">
      <c r="A540" s="129"/>
      <c r="B540" s="273"/>
      <c r="C540" s="98"/>
      <c r="D540" s="98"/>
      <c r="E540" s="275"/>
    </row>
    <row r="541" spans="1:5" ht="15">
      <c r="A541" s="129"/>
      <c r="B541" s="273"/>
      <c r="C541" s="98"/>
      <c r="D541" s="98"/>
      <c r="E541" s="275"/>
    </row>
    <row r="542" spans="1:5" ht="15">
      <c r="A542" s="129"/>
      <c r="B542" s="273"/>
      <c r="C542" s="98"/>
      <c r="D542" s="98"/>
      <c r="E542" s="275"/>
    </row>
    <row r="543" spans="1:5" ht="15">
      <c r="A543" s="129"/>
      <c r="B543" s="273"/>
      <c r="C543" s="98"/>
      <c r="D543" s="98"/>
      <c r="E543" s="275"/>
    </row>
    <row r="544" spans="1:5" ht="15">
      <c r="A544" s="129"/>
      <c r="B544" s="273"/>
      <c r="C544" s="98"/>
      <c r="D544" s="98"/>
      <c r="E544" s="275"/>
    </row>
    <row r="545" spans="1:5" ht="15">
      <c r="A545" s="129"/>
      <c r="B545" s="273"/>
      <c r="C545" s="98"/>
      <c r="D545" s="98"/>
      <c r="E545" s="275"/>
    </row>
    <row r="546" spans="1:5" ht="15">
      <c r="A546" s="129"/>
      <c r="B546" s="273"/>
      <c r="C546" s="98"/>
      <c r="D546" s="98"/>
      <c r="E546" s="275"/>
    </row>
    <row r="547" spans="1:5" ht="15">
      <c r="A547" s="129"/>
      <c r="B547" s="273"/>
      <c r="C547" s="98"/>
      <c r="D547" s="98"/>
      <c r="E547" s="275"/>
    </row>
    <row r="548" spans="1:5" ht="15">
      <c r="A548" s="129"/>
      <c r="B548" s="273"/>
      <c r="C548" s="98"/>
      <c r="D548" s="98"/>
      <c r="E548" s="275"/>
    </row>
    <row r="549" spans="1:5" ht="15">
      <c r="A549" s="129"/>
      <c r="B549" s="273"/>
      <c r="C549" s="98"/>
      <c r="D549" s="98"/>
      <c r="E549" s="275"/>
    </row>
    <row r="550" spans="1:5" ht="15">
      <c r="A550" s="129"/>
      <c r="B550" s="273"/>
      <c r="C550" s="98"/>
      <c r="D550" s="98"/>
      <c r="E550" s="275"/>
    </row>
    <row r="551" spans="1:5" ht="15">
      <c r="A551" s="129"/>
      <c r="B551" s="273"/>
      <c r="C551" s="98"/>
      <c r="D551" s="98"/>
      <c r="E551" s="275"/>
    </row>
    <row r="552" spans="1:5" ht="15">
      <c r="A552" s="129"/>
      <c r="B552" s="273"/>
      <c r="C552" s="98"/>
      <c r="D552" s="98"/>
      <c r="E552" s="275"/>
    </row>
    <row r="553" spans="1:5" ht="15">
      <c r="A553" s="129"/>
      <c r="B553" s="273"/>
      <c r="C553" s="98"/>
      <c r="D553" s="98"/>
      <c r="E553" s="275"/>
    </row>
    <row r="554" spans="1:5" ht="15">
      <c r="A554" s="129"/>
      <c r="B554" s="273"/>
      <c r="C554" s="98"/>
      <c r="D554" s="98"/>
      <c r="E554" s="275"/>
    </row>
    <row r="555" spans="1:5" ht="15">
      <c r="A555" s="129"/>
      <c r="B555" s="273"/>
      <c r="C555" s="98"/>
      <c r="D555" s="98"/>
      <c r="E555" s="275"/>
    </row>
    <row r="556" spans="1:5" ht="15">
      <c r="A556" s="129"/>
      <c r="B556" s="273"/>
      <c r="C556" s="98"/>
      <c r="D556" s="98"/>
      <c r="E556" s="275"/>
    </row>
    <row r="557" spans="1:5" ht="15">
      <c r="A557" s="129"/>
      <c r="B557" s="273"/>
      <c r="C557" s="98"/>
      <c r="D557" s="98"/>
      <c r="E557" s="275"/>
    </row>
    <row r="558" spans="1:5" ht="15">
      <c r="A558" s="129"/>
      <c r="B558" s="273"/>
      <c r="C558" s="98"/>
      <c r="D558" s="98"/>
      <c r="E558" s="275"/>
    </row>
    <row r="559" spans="1:5" ht="15">
      <c r="A559" s="129"/>
      <c r="B559" s="273"/>
      <c r="C559" s="98"/>
      <c r="D559" s="98"/>
      <c r="E559" s="275"/>
    </row>
    <row r="560" spans="1:5" ht="15">
      <c r="A560" s="129"/>
      <c r="B560" s="273"/>
      <c r="C560" s="98"/>
      <c r="D560" s="98"/>
      <c r="E560" s="275"/>
    </row>
    <row r="561" spans="1:5" ht="15">
      <c r="A561" s="129"/>
      <c r="B561" s="273"/>
      <c r="C561" s="98"/>
      <c r="D561" s="98"/>
      <c r="E561" s="275"/>
    </row>
    <row r="562" spans="1:5" ht="15">
      <c r="A562" s="129"/>
      <c r="B562" s="273"/>
      <c r="C562" s="98"/>
      <c r="D562" s="98"/>
      <c r="E562" s="275"/>
    </row>
    <row r="563" spans="1:5" ht="15">
      <c r="A563" s="129"/>
      <c r="B563" s="273"/>
      <c r="C563" s="98"/>
      <c r="D563" s="98"/>
      <c r="E563" s="275"/>
    </row>
    <row r="564" spans="1:5" ht="15">
      <c r="A564" s="129"/>
      <c r="B564" s="273"/>
      <c r="C564" s="98"/>
      <c r="D564" s="98"/>
      <c r="E564" s="275"/>
    </row>
    <row r="565" spans="1:5" ht="15">
      <c r="A565" s="129"/>
      <c r="B565" s="273"/>
      <c r="C565" s="98"/>
      <c r="D565" s="98"/>
      <c r="E565" s="275"/>
    </row>
    <row r="566" spans="1:5" ht="15">
      <c r="A566" s="129"/>
      <c r="B566" s="273"/>
      <c r="C566" s="98"/>
      <c r="D566" s="98"/>
      <c r="E566" s="275"/>
    </row>
    <row r="567" spans="1:5" ht="15">
      <c r="A567" s="129"/>
      <c r="B567" s="273"/>
      <c r="C567" s="98"/>
      <c r="D567" s="98"/>
      <c r="E567" s="275"/>
    </row>
    <row r="568" spans="1:5" ht="15">
      <c r="A568" s="129"/>
      <c r="B568" s="273"/>
      <c r="C568" s="98"/>
      <c r="D568" s="98"/>
      <c r="E568" s="275"/>
    </row>
    <row r="569" spans="1:5" ht="15">
      <c r="A569" s="129"/>
      <c r="B569" s="273"/>
      <c r="C569" s="98"/>
      <c r="D569" s="98"/>
      <c r="E569" s="275"/>
    </row>
    <row r="570" spans="1:5" ht="15">
      <c r="A570" s="129"/>
      <c r="B570" s="273"/>
      <c r="C570" s="98"/>
      <c r="D570" s="98"/>
      <c r="E570" s="275"/>
    </row>
    <row r="571" spans="1:5" ht="15">
      <c r="A571" s="129"/>
      <c r="B571" s="273"/>
      <c r="C571" s="98"/>
      <c r="D571" s="98"/>
      <c r="E571" s="275"/>
    </row>
    <row r="572" spans="1:5" ht="15">
      <c r="A572" s="129"/>
      <c r="B572" s="273"/>
      <c r="C572" s="98"/>
      <c r="D572" s="98"/>
      <c r="E572" s="275"/>
    </row>
    <row r="573" spans="1:5" ht="15">
      <c r="A573" s="129"/>
      <c r="B573" s="273"/>
      <c r="C573" s="98"/>
      <c r="D573" s="98"/>
      <c r="E573" s="275"/>
    </row>
    <row r="574" spans="1:5" ht="15">
      <c r="A574" s="129"/>
      <c r="B574" s="273"/>
      <c r="C574" s="98"/>
      <c r="D574" s="98"/>
      <c r="E574" s="275"/>
    </row>
    <row r="575" spans="1:5" ht="15">
      <c r="A575" s="129"/>
      <c r="B575" s="273"/>
      <c r="C575" s="98"/>
      <c r="D575" s="98"/>
      <c r="E575" s="275"/>
    </row>
    <row r="576" spans="1:5" ht="15">
      <c r="A576" s="129"/>
      <c r="B576" s="273"/>
      <c r="C576" s="98"/>
      <c r="D576" s="98"/>
      <c r="E576" s="275"/>
    </row>
    <row r="577" spans="1:5" ht="15">
      <c r="A577" s="129"/>
      <c r="B577" s="273"/>
      <c r="C577" s="98"/>
      <c r="D577" s="98"/>
      <c r="E577" s="275"/>
    </row>
    <row r="578" spans="1:5" ht="15">
      <c r="A578" s="129"/>
      <c r="B578" s="273"/>
      <c r="C578" s="98"/>
      <c r="D578" s="98"/>
      <c r="E578" s="275"/>
    </row>
    <row r="579" spans="1:5" ht="15">
      <c r="A579" s="129"/>
      <c r="B579" s="273"/>
      <c r="C579" s="98"/>
      <c r="D579" s="98"/>
      <c r="E579" s="275"/>
    </row>
    <row r="580" spans="1:5" ht="15">
      <c r="A580" s="129"/>
      <c r="B580" s="273"/>
      <c r="C580" s="98"/>
      <c r="D580" s="98"/>
      <c r="E580" s="275"/>
    </row>
    <row r="581" spans="1:5" ht="15">
      <c r="A581" s="129"/>
      <c r="B581" s="273"/>
      <c r="C581" s="98"/>
      <c r="D581" s="98"/>
      <c r="E581" s="275"/>
    </row>
    <row r="582" spans="1:5" ht="15">
      <c r="A582" s="129"/>
      <c r="B582" s="273"/>
      <c r="C582" s="98"/>
      <c r="D582" s="98"/>
      <c r="E582" s="275"/>
    </row>
    <row r="583" spans="1:5" ht="15">
      <c r="A583" s="129"/>
      <c r="B583" s="273"/>
      <c r="C583" s="98"/>
      <c r="D583" s="98"/>
      <c r="E583" s="275"/>
    </row>
    <row r="584" spans="1:5" ht="15">
      <c r="A584" s="129"/>
      <c r="B584" s="273"/>
      <c r="C584" s="98"/>
      <c r="D584" s="98"/>
      <c r="E584" s="275"/>
    </row>
    <row r="585" spans="1:5" ht="15">
      <c r="A585" s="129"/>
      <c r="B585" s="273"/>
      <c r="C585" s="98"/>
      <c r="D585" s="98"/>
      <c r="E585" s="275"/>
    </row>
    <row r="586" spans="1:5" ht="15">
      <c r="A586" s="129"/>
      <c r="B586" s="273"/>
      <c r="C586" s="98"/>
      <c r="D586" s="98"/>
      <c r="E586" s="275"/>
    </row>
    <row r="587" spans="1:5" ht="15">
      <c r="A587" s="129"/>
      <c r="B587" s="273"/>
      <c r="C587" s="98"/>
      <c r="D587" s="98"/>
      <c r="E587" s="275"/>
    </row>
    <row r="588" spans="1:5" ht="15">
      <c r="A588" s="129"/>
      <c r="B588" s="273"/>
      <c r="C588" s="98"/>
      <c r="D588" s="98"/>
      <c r="E588" s="275"/>
    </row>
    <row r="589" spans="1:5" ht="15">
      <c r="A589" s="129"/>
      <c r="B589" s="273"/>
      <c r="C589" s="98"/>
      <c r="D589" s="98"/>
      <c r="E589" s="275"/>
    </row>
    <row r="590" spans="1:5" ht="15">
      <c r="A590" s="129"/>
      <c r="B590" s="273"/>
      <c r="C590" s="98"/>
      <c r="D590" s="98"/>
      <c r="E590" s="275"/>
    </row>
    <row r="591" spans="1:5" ht="15">
      <c r="A591" s="129"/>
      <c r="B591" s="273"/>
      <c r="C591" s="98"/>
      <c r="D591" s="98"/>
      <c r="E591" s="275"/>
    </row>
    <row r="592" spans="1:5" ht="15">
      <c r="A592" s="129"/>
      <c r="B592" s="273"/>
      <c r="C592" s="98"/>
      <c r="D592" s="98"/>
      <c r="E592" s="275"/>
    </row>
    <row r="593" spans="1:5" ht="15">
      <c r="A593" s="129"/>
      <c r="B593" s="273"/>
      <c r="C593" s="98"/>
      <c r="D593" s="98"/>
      <c r="E593" s="275"/>
    </row>
    <row r="594" spans="1:5" ht="15">
      <c r="A594" s="129"/>
      <c r="B594" s="273"/>
      <c r="C594" s="98"/>
      <c r="D594" s="98"/>
      <c r="E594" s="275"/>
    </row>
    <row r="595" spans="1:5" ht="15">
      <c r="A595" s="129"/>
      <c r="B595" s="273"/>
      <c r="C595" s="98"/>
      <c r="D595" s="98"/>
      <c r="E595" s="275"/>
    </row>
    <row r="596" spans="1:5" ht="15">
      <c r="A596" s="129"/>
      <c r="B596" s="273"/>
      <c r="C596" s="98"/>
      <c r="D596" s="98"/>
      <c r="E596" s="275"/>
    </row>
    <row r="597" spans="1:5" ht="15">
      <c r="A597" s="129"/>
      <c r="B597" s="273"/>
      <c r="C597" s="98"/>
      <c r="D597" s="98"/>
      <c r="E597" s="275"/>
    </row>
    <row r="598" spans="1:5" ht="15">
      <c r="A598" s="129"/>
      <c r="B598" s="273"/>
      <c r="C598" s="98"/>
      <c r="D598" s="98"/>
      <c r="E598" s="275"/>
    </row>
    <row r="599" spans="1:5" ht="15">
      <c r="A599" s="129"/>
      <c r="B599" s="273"/>
      <c r="C599" s="98"/>
      <c r="D599" s="98"/>
      <c r="E599" s="275"/>
    </row>
    <row r="600" spans="1:5" ht="15">
      <c r="A600" s="129"/>
      <c r="B600" s="273"/>
      <c r="C600" s="98"/>
      <c r="D600" s="98"/>
      <c r="E600" s="275"/>
    </row>
    <row r="601" spans="1:5" ht="15">
      <c r="A601" s="129"/>
      <c r="B601" s="273"/>
      <c r="C601" s="98"/>
      <c r="D601" s="98"/>
      <c r="E601" s="275"/>
    </row>
    <row r="602" spans="1:5" ht="15">
      <c r="A602" s="129"/>
      <c r="B602" s="273"/>
      <c r="C602" s="98"/>
      <c r="D602" s="98"/>
      <c r="E602" s="275"/>
    </row>
    <row r="603" spans="1:5" ht="15">
      <c r="A603" s="129"/>
      <c r="B603" s="273"/>
      <c r="C603" s="98"/>
      <c r="D603" s="98"/>
      <c r="E603" s="275"/>
    </row>
    <row r="604" spans="1:5" ht="15">
      <c r="A604" s="129"/>
      <c r="B604" s="273"/>
      <c r="C604" s="98"/>
      <c r="D604" s="98"/>
      <c r="E604" s="275"/>
    </row>
    <row r="605" spans="1:5" ht="15">
      <c r="A605" s="129"/>
      <c r="B605" s="273"/>
      <c r="C605" s="98"/>
      <c r="D605" s="98"/>
      <c r="E605" s="275"/>
    </row>
    <row r="606" spans="1:5" ht="15">
      <c r="A606" s="129"/>
      <c r="B606" s="273"/>
      <c r="C606" s="98"/>
      <c r="D606" s="98"/>
      <c r="E606" s="275"/>
    </row>
    <row r="607" spans="1:5" ht="15">
      <c r="A607" s="129"/>
      <c r="B607" s="273"/>
      <c r="C607" s="98"/>
      <c r="D607" s="98"/>
      <c r="E607" s="275"/>
    </row>
    <row r="608" spans="1:5" ht="15">
      <c r="A608" s="129"/>
      <c r="B608" s="273"/>
      <c r="C608" s="98"/>
      <c r="D608" s="98"/>
      <c r="E608" s="275"/>
    </row>
    <row r="609" spans="1:5" ht="15">
      <c r="A609" s="129"/>
      <c r="B609" s="273"/>
      <c r="C609" s="98"/>
      <c r="D609" s="98"/>
      <c r="E609" s="275"/>
    </row>
    <row r="610" spans="1:5" ht="15">
      <c r="A610" s="129"/>
      <c r="B610" s="273"/>
      <c r="C610" s="98"/>
      <c r="D610" s="98"/>
      <c r="E610" s="275"/>
    </row>
    <row r="611" spans="1:5" ht="15">
      <c r="A611" s="129"/>
      <c r="B611" s="273"/>
      <c r="C611" s="98"/>
      <c r="D611" s="98"/>
      <c r="E611" s="275"/>
    </row>
    <row r="612" spans="1:5" ht="15">
      <c r="A612" s="129"/>
      <c r="B612" s="273"/>
      <c r="C612" s="98"/>
      <c r="D612" s="98"/>
      <c r="E612" s="275"/>
    </row>
    <row r="613" spans="1:5" ht="15">
      <c r="A613" s="129"/>
      <c r="B613" s="273"/>
      <c r="C613" s="98"/>
      <c r="D613" s="98"/>
      <c r="E613" s="275"/>
    </row>
    <row r="614" spans="1:5" ht="15">
      <c r="A614" s="129"/>
      <c r="B614" s="273"/>
      <c r="C614" s="98"/>
      <c r="D614" s="98"/>
      <c r="E614" s="275"/>
    </row>
    <row r="615" spans="1:5" ht="15">
      <c r="A615" s="129"/>
      <c r="B615" s="273"/>
      <c r="C615" s="98"/>
      <c r="D615" s="98"/>
      <c r="E615" s="275"/>
    </row>
    <row r="616" spans="1:5" ht="15">
      <c r="A616" s="129"/>
      <c r="B616" s="273"/>
      <c r="C616" s="98"/>
      <c r="D616" s="98"/>
      <c r="E616" s="275"/>
    </row>
    <row r="617" spans="1:5" ht="15">
      <c r="A617" s="129"/>
      <c r="B617" s="273"/>
      <c r="C617" s="98"/>
      <c r="D617" s="98"/>
      <c r="E617" s="275"/>
    </row>
    <row r="618" spans="1:5" ht="15">
      <c r="A618" s="129"/>
      <c r="B618" s="273"/>
      <c r="C618" s="98"/>
      <c r="D618" s="98"/>
      <c r="E618" s="275"/>
    </row>
    <row r="619" spans="1:5" ht="15">
      <c r="A619" s="129"/>
      <c r="B619" s="273"/>
      <c r="C619" s="98"/>
      <c r="D619" s="98"/>
      <c r="E619" s="275"/>
    </row>
    <row r="620" spans="1:5" ht="15">
      <c r="A620" s="129"/>
      <c r="B620" s="273"/>
      <c r="C620" s="98"/>
      <c r="D620" s="98"/>
      <c r="E620" s="275"/>
    </row>
    <row r="621" spans="1:5" ht="15">
      <c r="A621" s="129"/>
      <c r="B621" s="273"/>
      <c r="C621" s="98"/>
      <c r="D621" s="98"/>
      <c r="E621" s="275"/>
    </row>
    <row r="622" spans="1:5" ht="15">
      <c r="A622" s="129"/>
      <c r="B622" s="273"/>
      <c r="C622" s="98"/>
      <c r="D622" s="98"/>
      <c r="E622" s="275"/>
    </row>
    <row r="623" spans="1:5" ht="15">
      <c r="A623" s="129"/>
      <c r="B623" s="273"/>
      <c r="C623" s="98"/>
      <c r="D623" s="98"/>
      <c r="E623" s="275"/>
    </row>
    <row r="624" spans="1:5" ht="15">
      <c r="A624" s="129"/>
      <c r="B624" s="273"/>
      <c r="C624" s="98"/>
      <c r="D624" s="98"/>
      <c r="E624" s="275"/>
    </row>
    <row r="625" spans="1:5" ht="15">
      <c r="A625" s="129"/>
      <c r="B625" s="273"/>
      <c r="C625" s="98"/>
      <c r="D625" s="98"/>
      <c r="E625" s="275"/>
    </row>
    <row r="626" spans="1:5" ht="15">
      <c r="A626" s="129"/>
      <c r="B626" s="273"/>
      <c r="C626" s="98"/>
      <c r="D626" s="98"/>
      <c r="E626" s="275"/>
    </row>
    <row r="627" spans="1:5" ht="15">
      <c r="A627" s="129"/>
      <c r="B627" s="273"/>
      <c r="C627" s="98"/>
      <c r="D627" s="98"/>
      <c r="E627" s="275"/>
    </row>
    <row r="628" spans="1:5" ht="15">
      <c r="A628" s="129"/>
      <c r="B628" s="273"/>
      <c r="C628" s="98"/>
      <c r="D628" s="98"/>
      <c r="E628" s="275"/>
    </row>
    <row r="629" spans="1:5" ht="15">
      <c r="A629" s="129"/>
      <c r="B629" s="273"/>
      <c r="C629" s="98"/>
      <c r="D629" s="98"/>
      <c r="E629" s="275"/>
    </row>
    <row r="630" spans="1:5" ht="15">
      <c r="A630" s="129"/>
      <c r="B630" s="273"/>
      <c r="C630" s="98"/>
      <c r="D630" s="98"/>
      <c r="E630" s="275"/>
    </row>
    <row r="631" spans="1:5" ht="15">
      <c r="A631" s="129"/>
      <c r="B631" s="273"/>
      <c r="C631" s="98"/>
      <c r="D631" s="98"/>
      <c r="E631" s="275"/>
    </row>
    <row r="632" spans="1:5" ht="15">
      <c r="A632" s="129"/>
      <c r="B632" s="273"/>
      <c r="C632" s="98"/>
      <c r="D632" s="98"/>
      <c r="E632" s="275"/>
    </row>
    <row r="633" spans="1:5" ht="15">
      <c r="A633" s="129"/>
      <c r="B633" s="273"/>
      <c r="C633" s="98"/>
      <c r="D633" s="98"/>
      <c r="E633" s="275"/>
    </row>
    <row r="634" spans="1:5" ht="15">
      <c r="A634" s="129"/>
      <c r="B634" s="273"/>
      <c r="C634" s="98"/>
      <c r="D634" s="98"/>
      <c r="E634" s="275"/>
    </row>
    <row r="635" spans="1:5" ht="15">
      <c r="A635" s="129"/>
      <c r="B635" s="273"/>
      <c r="C635" s="98"/>
      <c r="D635" s="98"/>
      <c r="E635" s="275"/>
    </row>
    <row r="636" spans="1:5" ht="15">
      <c r="A636" s="129"/>
      <c r="B636" s="273"/>
      <c r="C636" s="98"/>
      <c r="D636" s="98"/>
      <c r="E636" s="275"/>
    </row>
    <row r="637" spans="1:5" ht="15">
      <c r="A637" s="129"/>
      <c r="B637" s="273"/>
      <c r="C637" s="98"/>
      <c r="D637" s="98"/>
      <c r="E637" s="275"/>
    </row>
    <row r="638" spans="1:5" ht="15">
      <c r="A638" s="129"/>
      <c r="B638" s="273"/>
      <c r="C638" s="98"/>
      <c r="D638" s="98"/>
      <c r="E638" s="275"/>
    </row>
    <row r="639" spans="1:5" ht="15">
      <c r="A639" s="129"/>
      <c r="B639" s="273"/>
      <c r="C639" s="98"/>
      <c r="D639" s="98"/>
      <c r="E639" s="275"/>
    </row>
    <row r="640" spans="1:5" ht="15">
      <c r="A640" s="129"/>
      <c r="B640" s="273"/>
      <c r="C640" s="98"/>
      <c r="D640" s="98"/>
      <c r="E640" s="275"/>
    </row>
    <row r="641" spans="1:5" ht="15">
      <c r="A641" s="129"/>
      <c r="B641" s="273"/>
      <c r="C641" s="98"/>
      <c r="D641" s="98"/>
      <c r="E641" s="275"/>
    </row>
    <row r="642" spans="1:5" ht="15">
      <c r="A642" s="129"/>
      <c r="B642" s="273"/>
      <c r="C642" s="98"/>
      <c r="D642" s="98"/>
      <c r="E642" s="275"/>
    </row>
    <row r="643" spans="1:5" ht="15">
      <c r="A643" s="129"/>
      <c r="B643" s="273"/>
      <c r="C643" s="98"/>
      <c r="D643" s="98"/>
      <c r="E643" s="275"/>
    </row>
    <row r="644" spans="1:5" ht="15">
      <c r="A644" s="129"/>
      <c r="B644" s="273"/>
      <c r="C644" s="98"/>
      <c r="D644" s="98"/>
      <c r="E644" s="275"/>
    </row>
    <row r="645" spans="1:5" ht="15">
      <c r="A645" s="129"/>
      <c r="B645" s="273"/>
      <c r="C645" s="98"/>
      <c r="D645" s="98"/>
      <c r="E645" s="275"/>
    </row>
    <row r="646" spans="1:5" ht="15">
      <c r="A646" s="129"/>
      <c r="B646" s="273"/>
      <c r="C646" s="98"/>
      <c r="D646" s="98"/>
      <c r="E646" s="275"/>
    </row>
    <row r="647" spans="1:5" ht="15">
      <c r="A647" s="129"/>
      <c r="B647" s="273"/>
      <c r="C647" s="98"/>
      <c r="D647" s="98"/>
      <c r="E647" s="275"/>
    </row>
    <row r="648" spans="1:5" ht="15">
      <c r="A648" s="129"/>
      <c r="B648" s="273"/>
      <c r="C648" s="98"/>
      <c r="D648" s="98"/>
      <c r="E648" s="275"/>
    </row>
    <row r="649" spans="1:5" ht="15">
      <c r="A649" s="129"/>
      <c r="B649" s="273"/>
      <c r="C649" s="98"/>
      <c r="D649" s="98"/>
      <c r="E649" s="275"/>
    </row>
    <row r="650" spans="1:5" ht="15">
      <c r="A650" s="129"/>
      <c r="B650" s="273"/>
      <c r="C650" s="98"/>
      <c r="D650" s="98"/>
      <c r="E650" s="275"/>
    </row>
    <row r="651" spans="1:5" ht="15">
      <c r="A651" s="129"/>
      <c r="B651" s="273"/>
      <c r="C651" s="98"/>
      <c r="D651" s="98"/>
      <c r="E651" s="275"/>
    </row>
    <row r="652" spans="1:5" ht="15">
      <c r="A652" s="129"/>
      <c r="B652" s="273"/>
      <c r="C652" s="98"/>
      <c r="D652" s="98"/>
      <c r="E652" s="275"/>
    </row>
    <row r="653" spans="1:5" ht="15">
      <c r="A653" s="129"/>
      <c r="B653" s="273"/>
      <c r="C653" s="98"/>
      <c r="D653" s="98"/>
      <c r="E653" s="275"/>
    </row>
    <row r="654" spans="1:5" ht="15">
      <c r="A654" s="129"/>
      <c r="B654" s="273"/>
      <c r="C654" s="98"/>
      <c r="D654" s="98"/>
      <c r="E654" s="275"/>
    </row>
    <row r="655" spans="1:5" ht="15">
      <c r="A655" s="129"/>
      <c r="B655" s="273"/>
      <c r="C655" s="98"/>
      <c r="D655" s="98"/>
      <c r="E655" s="275"/>
    </row>
    <row r="656" spans="1:5" ht="15">
      <c r="A656" s="129"/>
      <c r="B656" s="273"/>
      <c r="C656" s="98"/>
      <c r="D656" s="98"/>
      <c r="E656" s="275"/>
    </row>
    <row r="657" spans="1:5" ht="15">
      <c r="A657" s="129"/>
      <c r="B657" s="273"/>
      <c r="C657" s="98"/>
      <c r="D657" s="98"/>
      <c r="E657" s="275"/>
    </row>
    <row r="658" spans="1:5" ht="15">
      <c r="A658" s="129"/>
      <c r="B658" s="273"/>
      <c r="C658" s="98"/>
      <c r="D658" s="98"/>
      <c r="E658" s="275"/>
    </row>
    <row r="659" spans="1:5" ht="15">
      <c r="A659" s="129"/>
      <c r="B659" s="273"/>
      <c r="C659" s="98"/>
      <c r="D659" s="98"/>
      <c r="E659" s="275"/>
    </row>
    <row r="660" spans="1:5" ht="15">
      <c r="A660" s="129"/>
      <c r="B660" s="273"/>
      <c r="C660" s="98"/>
      <c r="D660" s="98"/>
      <c r="E660" s="275"/>
    </row>
    <row r="661" spans="1:5" ht="15">
      <c r="A661" s="129"/>
      <c r="B661" s="273"/>
      <c r="C661" s="98"/>
      <c r="D661" s="98"/>
      <c r="E661" s="275"/>
    </row>
    <row r="662" spans="1:5" ht="15">
      <c r="A662" s="129"/>
      <c r="B662" s="273"/>
      <c r="C662" s="98"/>
      <c r="D662" s="98"/>
      <c r="E662" s="275"/>
    </row>
    <row r="663" spans="1:5" ht="15">
      <c r="A663" s="129"/>
      <c r="B663" s="273"/>
      <c r="C663" s="98"/>
      <c r="D663" s="98"/>
      <c r="E663" s="275"/>
    </row>
    <row r="664" spans="1:5" ht="15">
      <c r="A664" s="129"/>
      <c r="B664" s="273"/>
      <c r="C664" s="98"/>
      <c r="D664" s="98"/>
      <c r="E664" s="275"/>
    </row>
    <row r="665" spans="1:5" ht="15">
      <c r="A665" s="129"/>
      <c r="B665" s="273"/>
      <c r="C665" s="98"/>
      <c r="D665" s="98"/>
      <c r="E665" s="275"/>
    </row>
    <row r="666" spans="1:5" ht="15">
      <c r="A666" s="129"/>
      <c r="B666" s="273"/>
      <c r="C666" s="98"/>
      <c r="D666" s="98"/>
      <c r="E666" s="275"/>
    </row>
    <row r="667" spans="1:5" ht="15">
      <c r="A667" s="129"/>
      <c r="B667" s="273"/>
      <c r="C667" s="98"/>
      <c r="D667" s="98"/>
      <c r="E667" s="275"/>
    </row>
    <row r="668" spans="1:5" ht="15">
      <c r="A668" s="129"/>
      <c r="B668" s="273"/>
      <c r="C668" s="98"/>
      <c r="D668" s="98"/>
      <c r="E668" s="275"/>
    </row>
    <row r="669" spans="1:5" ht="15">
      <c r="A669" s="129"/>
      <c r="B669" s="273"/>
      <c r="C669" s="98"/>
      <c r="D669" s="98"/>
      <c r="E669" s="275"/>
    </row>
    <row r="670" spans="1:5" ht="15">
      <c r="A670" s="129"/>
      <c r="B670" s="273"/>
      <c r="C670" s="98"/>
      <c r="D670" s="98"/>
      <c r="E670" s="275"/>
    </row>
    <row r="671" spans="1:5" ht="15">
      <c r="A671" s="129"/>
      <c r="B671" s="273"/>
      <c r="C671" s="98"/>
      <c r="D671" s="98"/>
      <c r="E671" s="275"/>
    </row>
    <row r="672" spans="1:5" ht="15">
      <c r="A672" s="129"/>
      <c r="B672" s="273"/>
      <c r="C672" s="98"/>
      <c r="D672" s="98"/>
      <c r="E672" s="275"/>
    </row>
    <row r="673" spans="1:5" ht="15">
      <c r="A673" s="129"/>
      <c r="B673" s="273"/>
      <c r="C673" s="98"/>
      <c r="D673" s="98"/>
      <c r="E673" s="275"/>
    </row>
    <row r="674" spans="1:5" ht="15">
      <c r="A674" s="129"/>
      <c r="B674" s="273"/>
      <c r="C674" s="98"/>
      <c r="D674" s="98"/>
      <c r="E674" s="275"/>
    </row>
    <row r="675" spans="1:5" ht="15">
      <c r="A675" s="129"/>
      <c r="B675" s="273"/>
      <c r="C675" s="98"/>
      <c r="D675" s="98"/>
      <c r="E675" s="275"/>
    </row>
    <row r="676" spans="1:5" ht="15">
      <c r="A676" s="129"/>
      <c r="B676" s="273"/>
      <c r="C676" s="98"/>
      <c r="D676" s="98"/>
      <c r="E676" s="275"/>
    </row>
    <row r="677" spans="1:5" ht="15">
      <c r="A677" s="129"/>
      <c r="B677" s="273"/>
      <c r="C677" s="98"/>
      <c r="D677" s="98"/>
      <c r="E677" s="275"/>
    </row>
    <row r="678" spans="1:5" ht="15">
      <c r="A678" s="129"/>
      <c r="B678" s="273"/>
      <c r="C678" s="98"/>
      <c r="D678" s="98"/>
      <c r="E678" s="275"/>
    </row>
    <row r="679" spans="1:5" ht="15">
      <c r="A679" s="129"/>
      <c r="B679" s="273"/>
      <c r="C679" s="98"/>
      <c r="D679" s="98"/>
      <c r="E679" s="275"/>
    </row>
    <row r="680" spans="1:5" ht="15">
      <c r="A680" s="129"/>
      <c r="B680" s="273"/>
      <c r="C680" s="98"/>
      <c r="D680" s="98"/>
      <c r="E680" s="275"/>
    </row>
    <row r="681" spans="1:5" ht="15">
      <c r="A681" s="129"/>
      <c r="B681" s="273"/>
      <c r="C681" s="98"/>
      <c r="D681" s="98"/>
      <c r="E681" s="275"/>
    </row>
    <row r="682" spans="1:5" ht="15">
      <c r="A682" s="129"/>
      <c r="B682" s="273"/>
      <c r="C682" s="98"/>
      <c r="D682" s="98"/>
      <c r="E682" s="275"/>
    </row>
    <row r="683" spans="1:5" ht="15">
      <c r="A683" s="129"/>
      <c r="B683" s="273"/>
      <c r="C683" s="98"/>
      <c r="D683" s="98"/>
      <c r="E683" s="275"/>
    </row>
    <row r="684" spans="1:5" ht="15">
      <c r="A684" s="129"/>
      <c r="B684" s="273"/>
      <c r="C684" s="98"/>
      <c r="D684" s="98"/>
      <c r="E684" s="275"/>
    </row>
    <row r="685" spans="1:5" ht="15">
      <c r="A685" s="129"/>
      <c r="B685" s="273"/>
      <c r="C685" s="98"/>
      <c r="D685" s="98"/>
      <c r="E685" s="275"/>
    </row>
    <row r="686" spans="1:5" ht="15">
      <c r="A686" s="129"/>
      <c r="B686" s="273"/>
      <c r="C686" s="98"/>
      <c r="D686" s="98"/>
      <c r="E686" s="275"/>
    </row>
    <row r="687" spans="1:5" ht="15">
      <c r="A687" s="129"/>
      <c r="B687" s="273"/>
      <c r="C687" s="98"/>
      <c r="D687" s="98"/>
      <c r="E687" s="275"/>
    </row>
    <row r="688" spans="1:5" ht="15">
      <c r="A688" s="129"/>
      <c r="B688" s="273"/>
      <c r="C688" s="98"/>
      <c r="D688" s="98"/>
      <c r="E688" s="275"/>
    </row>
    <row r="689" spans="1:5" ht="15">
      <c r="A689" s="129"/>
      <c r="B689" s="273"/>
      <c r="C689" s="98"/>
      <c r="D689" s="98"/>
      <c r="E689" s="275"/>
    </row>
    <row r="690" spans="1:5" ht="15">
      <c r="A690" s="129"/>
      <c r="B690" s="273"/>
      <c r="C690" s="98"/>
      <c r="D690" s="98"/>
      <c r="E690" s="275"/>
    </row>
    <row r="691" spans="1:5" ht="15">
      <c r="A691" s="129"/>
      <c r="B691" s="273"/>
      <c r="C691" s="98"/>
      <c r="D691" s="98"/>
      <c r="E691" s="275"/>
    </row>
    <row r="692" spans="1:5" ht="15">
      <c r="A692" s="129"/>
      <c r="B692" s="273"/>
      <c r="C692" s="98"/>
      <c r="D692" s="98"/>
      <c r="E692" s="275"/>
    </row>
    <row r="693" spans="1:5" ht="15">
      <c r="A693" s="129"/>
      <c r="B693" s="273"/>
      <c r="C693" s="98"/>
      <c r="D693" s="98"/>
      <c r="E693" s="275"/>
    </row>
    <row r="694" spans="1:5" ht="15">
      <c r="A694" s="129"/>
      <c r="B694" s="273"/>
      <c r="C694" s="98"/>
      <c r="D694" s="98"/>
      <c r="E694" s="275"/>
    </row>
    <row r="695" spans="1:5" ht="15">
      <c r="A695" s="129"/>
      <c r="B695" s="273"/>
      <c r="C695" s="98"/>
      <c r="D695" s="98"/>
      <c r="E695" s="275"/>
    </row>
    <row r="696" spans="1:5" ht="15">
      <c r="A696" s="129"/>
      <c r="B696" s="273"/>
      <c r="C696" s="98"/>
      <c r="D696" s="98"/>
      <c r="E696" s="275"/>
    </row>
    <row r="697" spans="1:5" ht="15">
      <c r="A697" s="129"/>
      <c r="B697" s="273"/>
      <c r="C697" s="98"/>
      <c r="D697" s="98"/>
      <c r="E697" s="275"/>
    </row>
    <row r="698" spans="1:5" ht="15">
      <c r="A698" s="129"/>
      <c r="B698" s="273"/>
      <c r="C698" s="98"/>
      <c r="D698" s="98"/>
      <c r="E698" s="275"/>
    </row>
    <row r="699" spans="1:5" ht="15">
      <c r="A699" s="129"/>
      <c r="B699" s="273"/>
      <c r="C699" s="98"/>
      <c r="D699" s="98"/>
      <c r="E699" s="275"/>
    </row>
    <row r="700" spans="1:5" ht="15">
      <c r="A700" s="129"/>
      <c r="B700" s="273"/>
      <c r="C700" s="98"/>
      <c r="D700" s="98"/>
      <c r="E700" s="275"/>
    </row>
    <row r="701" spans="1:5" ht="15">
      <c r="A701" s="129"/>
      <c r="B701" s="273"/>
      <c r="C701" s="98"/>
      <c r="D701" s="98"/>
      <c r="E701" s="275"/>
    </row>
    <row r="702" spans="1:5" ht="15">
      <c r="A702" s="129"/>
      <c r="B702" s="273"/>
      <c r="C702" s="98"/>
      <c r="D702" s="98"/>
      <c r="E702" s="275"/>
    </row>
    <row r="703" spans="1:5" ht="15">
      <c r="A703" s="129"/>
      <c r="B703" s="273"/>
      <c r="C703" s="98"/>
      <c r="D703" s="98"/>
      <c r="E703" s="275"/>
    </row>
    <row r="704" spans="1:5" ht="15">
      <c r="A704" s="129"/>
      <c r="B704" s="273"/>
      <c r="C704" s="98"/>
      <c r="D704" s="98"/>
      <c r="E704" s="275"/>
    </row>
    <row r="705" spans="1:5" ht="15">
      <c r="A705" s="129"/>
      <c r="B705" s="273"/>
      <c r="C705" s="98"/>
      <c r="D705" s="98"/>
      <c r="E705" s="275"/>
    </row>
    <row r="706" spans="1:5" ht="15">
      <c r="A706" s="129"/>
      <c r="B706" s="273"/>
      <c r="C706" s="98"/>
      <c r="D706" s="98"/>
      <c r="E706" s="275"/>
    </row>
    <row r="707" spans="1:5" ht="15">
      <c r="A707" s="129"/>
      <c r="B707" s="273"/>
      <c r="C707" s="98"/>
      <c r="D707" s="98"/>
      <c r="E707" s="275"/>
    </row>
    <row r="708" spans="1:5" ht="15">
      <c r="A708" s="129"/>
      <c r="B708" s="273"/>
      <c r="C708" s="98"/>
      <c r="D708" s="98"/>
      <c r="E708" s="275"/>
    </row>
    <row r="709" spans="1:5" ht="15">
      <c r="A709" s="129"/>
      <c r="B709" s="273"/>
      <c r="C709" s="98"/>
      <c r="D709" s="98"/>
      <c r="E709" s="275"/>
    </row>
    <row r="710" spans="1:5" ht="15">
      <c r="A710" s="129"/>
      <c r="B710" s="273"/>
      <c r="C710" s="98"/>
      <c r="D710" s="98"/>
      <c r="E710" s="275"/>
    </row>
    <row r="711" spans="1:5" ht="15">
      <c r="A711" s="129"/>
      <c r="B711" s="273"/>
      <c r="C711" s="98"/>
      <c r="D711" s="98"/>
      <c r="E711" s="275"/>
    </row>
    <row r="712" spans="1:5" ht="15">
      <c r="A712" s="129"/>
      <c r="B712" s="273"/>
      <c r="C712" s="98"/>
      <c r="D712" s="98"/>
      <c r="E712" s="275"/>
    </row>
    <row r="713" spans="1:5" ht="15">
      <c r="A713" s="129"/>
      <c r="B713" s="273"/>
      <c r="C713" s="98"/>
      <c r="D713" s="98"/>
      <c r="E713" s="275"/>
    </row>
    <row r="714" spans="1:5" ht="15">
      <c r="A714" s="129"/>
      <c r="B714" s="273"/>
      <c r="C714" s="98"/>
      <c r="D714" s="98"/>
      <c r="E714" s="275"/>
    </row>
    <row r="715" spans="1:5" ht="15">
      <c r="A715" s="129"/>
      <c r="B715" s="273"/>
      <c r="C715" s="98"/>
      <c r="D715" s="98"/>
      <c r="E715" s="275"/>
    </row>
    <row r="716" spans="1:5" ht="15">
      <c r="A716" s="129"/>
      <c r="B716" s="273"/>
      <c r="C716" s="98"/>
      <c r="D716" s="98"/>
      <c r="E716" s="275"/>
    </row>
    <row r="717" spans="1:5" ht="15">
      <c r="A717" s="129"/>
      <c r="B717" s="273"/>
      <c r="C717" s="98"/>
      <c r="D717" s="98"/>
      <c r="E717" s="275"/>
    </row>
    <row r="718" spans="1:5" ht="15">
      <c r="A718" s="129"/>
      <c r="B718" s="273"/>
      <c r="C718" s="98"/>
      <c r="D718" s="98"/>
      <c r="E718" s="275"/>
    </row>
    <row r="719" spans="1:5" ht="15">
      <c r="A719" s="129"/>
      <c r="B719" s="273"/>
      <c r="C719" s="98"/>
      <c r="D719" s="98"/>
      <c r="E719" s="275"/>
    </row>
    <row r="720" spans="1:5" ht="15">
      <c r="A720" s="129"/>
      <c r="B720" s="273"/>
      <c r="C720" s="98"/>
      <c r="D720" s="98"/>
      <c r="E720" s="275"/>
    </row>
    <row r="721" spans="1:5" ht="15">
      <c r="A721" s="129"/>
      <c r="B721" s="273"/>
      <c r="C721" s="98"/>
      <c r="D721" s="98"/>
      <c r="E721" s="275"/>
    </row>
    <row r="722" spans="1:5" ht="15">
      <c r="A722" s="129"/>
      <c r="B722" s="273"/>
      <c r="C722" s="98"/>
      <c r="D722" s="98"/>
      <c r="E722" s="275"/>
    </row>
    <row r="723" spans="1:5" ht="15">
      <c r="A723" s="129"/>
      <c r="B723" s="273"/>
      <c r="C723" s="98"/>
      <c r="D723" s="98"/>
      <c r="E723" s="275"/>
    </row>
    <row r="724" spans="1:5" ht="15">
      <c r="A724" s="129"/>
      <c r="B724" s="273"/>
      <c r="C724" s="98"/>
      <c r="D724" s="98"/>
      <c r="E724" s="275"/>
    </row>
    <row r="725" spans="1:5" ht="15">
      <c r="A725" s="129"/>
      <c r="B725" s="273"/>
      <c r="C725" s="98"/>
      <c r="D725" s="98"/>
      <c r="E725" s="275"/>
    </row>
    <row r="726" spans="1:5" ht="15">
      <c r="A726" s="129"/>
      <c r="B726" s="273"/>
      <c r="C726" s="98"/>
      <c r="D726" s="98"/>
      <c r="E726" s="275"/>
    </row>
    <row r="727" spans="1:5" ht="15">
      <c r="A727" s="129"/>
      <c r="B727" s="273"/>
      <c r="C727" s="98"/>
      <c r="D727" s="98"/>
      <c r="E727" s="275"/>
    </row>
    <row r="728" spans="1:5" ht="15">
      <c r="A728" s="129"/>
      <c r="B728" s="273"/>
      <c r="C728" s="98"/>
      <c r="D728" s="98"/>
      <c r="E728" s="275"/>
    </row>
    <row r="729" spans="1:5" ht="15">
      <c r="A729" s="129"/>
      <c r="B729" s="273"/>
      <c r="C729" s="98"/>
      <c r="D729" s="98"/>
      <c r="E729" s="275"/>
    </row>
    <row r="730" spans="1:5" ht="15">
      <c r="A730" s="129"/>
      <c r="B730" s="273"/>
      <c r="C730" s="98"/>
      <c r="D730" s="98"/>
      <c r="E730" s="275"/>
    </row>
    <row r="731" spans="1:5" ht="15">
      <c r="A731" s="129"/>
      <c r="B731" s="273"/>
      <c r="C731" s="98"/>
      <c r="D731" s="98"/>
      <c r="E731" s="275"/>
    </row>
    <row r="732" spans="1:5" ht="15">
      <c r="A732" s="129"/>
      <c r="B732" s="273"/>
      <c r="C732" s="98"/>
      <c r="D732" s="98"/>
      <c r="E732" s="275"/>
    </row>
    <row r="733" spans="1:5" ht="15">
      <c r="A733" s="129"/>
      <c r="B733" s="273"/>
      <c r="C733" s="98"/>
      <c r="D733" s="98"/>
      <c r="E733" s="275"/>
    </row>
    <row r="734" spans="1:5" ht="15">
      <c r="A734" s="129"/>
      <c r="B734" s="273"/>
      <c r="C734" s="98"/>
      <c r="D734" s="98"/>
      <c r="E734" s="275"/>
    </row>
    <row r="735" spans="1:5" ht="15">
      <c r="A735" s="129"/>
      <c r="B735" s="273"/>
      <c r="C735" s="98"/>
      <c r="D735" s="98"/>
      <c r="E735" s="275"/>
    </row>
    <row r="736" spans="1:5" ht="15">
      <c r="A736" s="129"/>
      <c r="B736" s="273"/>
      <c r="C736" s="98"/>
      <c r="D736" s="98"/>
      <c r="E736" s="275"/>
    </row>
    <row r="737" spans="1:5" ht="15">
      <c r="A737" s="129"/>
      <c r="B737" s="273"/>
      <c r="C737" s="98"/>
      <c r="D737" s="98"/>
      <c r="E737" s="275"/>
    </row>
    <row r="738" spans="1:5" ht="15">
      <c r="A738" s="129"/>
      <c r="B738" s="273"/>
      <c r="C738" s="98"/>
      <c r="D738" s="98"/>
      <c r="E738" s="275"/>
    </row>
    <row r="739" spans="1:5" ht="15">
      <c r="A739" s="129"/>
      <c r="B739" s="273"/>
      <c r="C739" s="98"/>
      <c r="D739" s="98"/>
      <c r="E739" s="275"/>
    </row>
    <row r="740" spans="1:5" ht="15">
      <c r="A740" s="129"/>
      <c r="B740" s="273"/>
      <c r="C740" s="98"/>
      <c r="D740" s="98"/>
      <c r="E740" s="275"/>
    </row>
    <row r="741" spans="1:5" ht="15">
      <c r="A741" s="129"/>
      <c r="B741" s="273"/>
      <c r="C741" s="98"/>
      <c r="D741" s="98"/>
      <c r="E741" s="275"/>
    </row>
    <row r="742" spans="1:5" ht="15">
      <c r="A742" s="129"/>
      <c r="B742" s="273"/>
      <c r="C742" s="98"/>
      <c r="D742" s="98"/>
      <c r="E742" s="275"/>
    </row>
    <row r="743" spans="1:5" ht="15">
      <c r="A743" s="129"/>
      <c r="B743" s="273"/>
      <c r="C743" s="98"/>
      <c r="D743" s="98"/>
      <c r="E743" s="275"/>
    </row>
    <row r="744" spans="1:5" ht="15">
      <c r="A744" s="129"/>
      <c r="B744" s="273"/>
      <c r="C744" s="98"/>
      <c r="D744" s="98"/>
      <c r="E744" s="275"/>
    </row>
    <row r="745" spans="1:5" ht="15">
      <c r="A745" s="129"/>
      <c r="B745" s="273"/>
      <c r="C745" s="98"/>
      <c r="D745" s="98"/>
      <c r="E745" s="275"/>
    </row>
    <row r="746" spans="1:5" ht="15">
      <c r="A746" s="129"/>
      <c r="B746" s="273"/>
      <c r="C746" s="98"/>
      <c r="D746" s="98"/>
      <c r="E746" s="275"/>
    </row>
    <row r="747" spans="1:5" ht="15">
      <c r="A747" s="129"/>
      <c r="B747" s="273"/>
      <c r="C747" s="98"/>
      <c r="D747" s="98"/>
      <c r="E747" s="275"/>
    </row>
    <row r="748" spans="1:5" ht="15">
      <c r="A748" s="129"/>
      <c r="B748" s="273"/>
      <c r="C748" s="98"/>
      <c r="D748" s="98"/>
      <c r="E748" s="275"/>
    </row>
    <row r="749" spans="1:5" ht="15">
      <c r="A749" s="129"/>
      <c r="B749" s="273"/>
      <c r="C749" s="98"/>
      <c r="D749" s="98"/>
      <c r="E749" s="275"/>
    </row>
    <row r="750" spans="1:5" ht="15">
      <c r="A750" s="129"/>
      <c r="B750" s="273"/>
      <c r="C750" s="98"/>
      <c r="D750" s="98"/>
      <c r="E750" s="275"/>
    </row>
    <row r="751" spans="1:5" ht="15">
      <c r="A751" s="129"/>
      <c r="B751" s="273"/>
      <c r="C751" s="98"/>
      <c r="D751" s="98"/>
      <c r="E751" s="275"/>
    </row>
    <row r="752" spans="1:5" ht="15">
      <c r="A752" s="129"/>
      <c r="B752" s="273"/>
      <c r="C752" s="98"/>
      <c r="D752" s="98"/>
      <c r="E752" s="275"/>
    </row>
    <row r="753" spans="1:5" ht="15">
      <c r="A753" s="129"/>
      <c r="B753" s="273"/>
      <c r="C753" s="98"/>
      <c r="D753" s="98"/>
      <c r="E753" s="275"/>
    </row>
    <row r="754" spans="1:5" ht="15">
      <c r="A754" s="129"/>
      <c r="B754" s="273"/>
      <c r="C754" s="98"/>
      <c r="D754" s="98"/>
      <c r="E754" s="275"/>
    </row>
    <row r="755" spans="1:5" ht="15">
      <c r="A755" s="129"/>
      <c r="B755" s="273"/>
      <c r="C755" s="98"/>
      <c r="D755" s="98"/>
      <c r="E755" s="275"/>
    </row>
    <row r="756" spans="1:5" ht="15">
      <c r="A756" s="129"/>
      <c r="B756" s="273"/>
      <c r="C756" s="98"/>
      <c r="D756" s="98"/>
      <c r="E756" s="275"/>
    </row>
    <row r="757" spans="1:5" ht="15">
      <c r="A757" s="129"/>
      <c r="B757" s="273"/>
      <c r="C757" s="98"/>
      <c r="D757" s="98"/>
      <c r="E757" s="275"/>
    </row>
    <row r="758" spans="1:5" ht="15">
      <c r="A758" s="129"/>
      <c r="B758" s="273"/>
      <c r="C758" s="98"/>
      <c r="D758" s="98"/>
      <c r="E758" s="275"/>
    </row>
    <row r="759" spans="1:5" ht="15">
      <c r="A759" s="129"/>
      <c r="B759" s="273"/>
      <c r="C759" s="98"/>
      <c r="D759" s="98"/>
      <c r="E759" s="275"/>
    </row>
    <row r="760" spans="1:5" ht="15">
      <c r="A760" s="129"/>
      <c r="B760" s="273"/>
      <c r="C760" s="98"/>
      <c r="D760" s="98"/>
      <c r="E760" s="275"/>
    </row>
    <row r="761" spans="1:5" ht="15">
      <c r="A761" s="129"/>
      <c r="B761" s="273"/>
      <c r="C761" s="98"/>
      <c r="D761" s="98"/>
      <c r="E761" s="275"/>
    </row>
    <row r="762" spans="1:5" ht="15">
      <c r="A762" s="129"/>
      <c r="B762" s="273"/>
      <c r="C762" s="98"/>
      <c r="D762" s="98"/>
      <c r="E762" s="275"/>
    </row>
    <row r="763" spans="1:5" ht="15">
      <c r="A763" s="129"/>
      <c r="B763" s="273"/>
      <c r="C763" s="98"/>
      <c r="D763" s="98"/>
      <c r="E763" s="275"/>
    </row>
    <row r="764" spans="1:5" ht="15">
      <c r="A764" s="129"/>
      <c r="B764" s="273"/>
      <c r="C764" s="98"/>
      <c r="D764" s="98"/>
      <c r="E764" s="275"/>
    </row>
    <row r="765" spans="1:5" ht="15">
      <c r="A765" s="129"/>
      <c r="B765" s="273"/>
      <c r="C765" s="98"/>
      <c r="D765" s="98"/>
      <c r="E765" s="275"/>
    </row>
    <row r="766" spans="1:5" ht="15">
      <c r="A766" s="129"/>
      <c r="B766" s="273"/>
      <c r="C766" s="98"/>
      <c r="D766" s="98"/>
      <c r="E766" s="275"/>
    </row>
    <row r="767" spans="1:5" ht="15">
      <c r="A767" s="129"/>
      <c r="B767" s="273"/>
      <c r="C767" s="98"/>
      <c r="D767" s="98"/>
      <c r="E767" s="275"/>
    </row>
    <row r="768" spans="1:5" ht="15">
      <c r="A768" s="129"/>
      <c r="B768" s="273"/>
      <c r="C768" s="98"/>
      <c r="D768" s="98"/>
      <c r="E768" s="275"/>
    </row>
    <row r="769" spans="1:5" ht="15">
      <c r="A769" s="129"/>
      <c r="B769" s="273"/>
      <c r="C769" s="98"/>
      <c r="D769" s="98"/>
      <c r="E769" s="275"/>
    </row>
    <row r="770" spans="1:5" ht="15">
      <c r="A770" s="129"/>
      <c r="B770" s="273"/>
      <c r="C770" s="98"/>
      <c r="D770" s="98"/>
      <c r="E770" s="275"/>
    </row>
    <row r="771" spans="1:5" ht="15">
      <c r="A771" s="129"/>
      <c r="B771" s="273"/>
      <c r="C771" s="98"/>
      <c r="D771" s="98"/>
      <c r="E771" s="275"/>
    </row>
    <row r="772" spans="1:5" ht="15">
      <c r="A772" s="129"/>
      <c r="B772" s="273"/>
      <c r="C772" s="98"/>
      <c r="D772" s="98"/>
      <c r="E772" s="275"/>
    </row>
    <row r="773" spans="1:5" ht="15">
      <c r="A773" s="129"/>
      <c r="B773" s="273"/>
      <c r="C773" s="98"/>
      <c r="D773" s="98"/>
      <c r="E773" s="275"/>
    </row>
    <row r="774" spans="1:5" ht="15">
      <c r="A774" s="129"/>
      <c r="B774" s="273"/>
      <c r="C774" s="98"/>
      <c r="D774" s="98"/>
      <c r="E774" s="275"/>
    </row>
    <row r="775" spans="1:5" ht="15">
      <c r="A775" s="129"/>
      <c r="B775" s="273"/>
      <c r="C775" s="98"/>
      <c r="D775" s="98"/>
      <c r="E775" s="275"/>
    </row>
    <row r="776" spans="1:5" ht="15">
      <c r="A776" s="129"/>
      <c r="B776" s="273"/>
      <c r="C776" s="98"/>
      <c r="D776" s="98"/>
      <c r="E776" s="275"/>
    </row>
    <row r="777" spans="1:5" ht="15">
      <c r="A777" s="129"/>
      <c r="B777" s="273"/>
      <c r="C777" s="98"/>
      <c r="D777" s="98"/>
      <c r="E777" s="275"/>
    </row>
    <row r="778" spans="1:5" ht="15">
      <c r="A778" s="129"/>
      <c r="B778" s="273"/>
      <c r="C778" s="98"/>
      <c r="D778" s="98"/>
      <c r="E778" s="275"/>
    </row>
    <row r="779" spans="1:5" ht="15">
      <c r="A779" s="129"/>
      <c r="B779" s="273"/>
      <c r="C779" s="98"/>
      <c r="D779" s="98"/>
      <c r="E779" s="275"/>
    </row>
    <row r="780" spans="1:5" ht="15">
      <c r="A780" s="129"/>
      <c r="B780" s="273"/>
      <c r="C780" s="98"/>
      <c r="D780" s="98"/>
      <c r="E780" s="275"/>
    </row>
    <row r="781" spans="1:5" ht="15">
      <c r="A781" s="129"/>
      <c r="B781" s="273"/>
      <c r="C781" s="98"/>
      <c r="D781" s="98"/>
      <c r="E781" s="275"/>
    </row>
    <row r="782" spans="1:5" ht="15">
      <c r="A782" s="129"/>
      <c r="B782" s="273"/>
      <c r="C782" s="98"/>
      <c r="D782" s="98"/>
      <c r="E782" s="275"/>
    </row>
    <row r="783" spans="1:5" ht="15">
      <c r="A783" s="129"/>
      <c r="B783" s="273"/>
      <c r="C783" s="98"/>
      <c r="D783" s="98"/>
      <c r="E783" s="275"/>
    </row>
    <row r="784" spans="1:5" ht="15">
      <c r="A784" s="129"/>
      <c r="B784" s="273"/>
      <c r="C784" s="98"/>
      <c r="D784" s="98"/>
      <c r="E784" s="275"/>
    </row>
    <row r="785" spans="1:5" ht="15">
      <c r="A785" s="129"/>
      <c r="B785" s="273"/>
      <c r="C785" s="98"/>
      <c r="D785" s="98"/>
      <c r="E785" s="275"/>
    </row>
    <row r="786" spans="1:5" ht="15">
      <c r="A786" s="129"/>
      <c r="B786" s="273"/>
      <c r="C786" s="98"/>
      <c r="D786" s="98"/>
      <c r="E786" s="275"/>
    </row>
    <row r="787" spans="1:5" ht="15">
      <c r="A787" s="129"/>
      <c r="B787" s="273"/>
      <c r="C787" s="98"/>
      <c r="D787" s="98"/>
      <c r="E787" s="275"/>
    </row>
    <row r="788" spans="1:5" ht="15">
      <c r="A788" s="129"/>
      <c r="B788" s="273"/>
      <c r="C788" s="98"/>
      <c r="D788" s="98"/>
      <c r="E788" s="275"/>
    </row>
    <row r="789" spans="1:5" ht="15">
      <c r="A789" s="129"/>
      <c r="B789" s="273"/>
      <c r="C789" s="98"/>
      <c r="D789" s="98"/>
      <c r="E789" s="275"/>
    </row>
    <row r="790" spans="1:5" ht="15">
      <c r="A790" s="129"/>
      <c r="B790" s="273"/>
      <c r="C790" s="98"/>
      <c r="D790" s="98"/>
      <c r="E790" s="275"/>
    </row>
    <row r="791" spans="1:5" ht="15">
      <c r="A791" s="129"/>
      <c r="B791" s="273"/>
      <c r="C791" s="98"/>
      <c r="D791" s="98"/>
      <c r="E791" s="275"/>
    </row>
    <row r="792" spans="1:5" ht="15">
      <c r="A792" s="129"/>
      <c r="B792" s="273"/>
      <c r="C792" s="98"/>
      <c r="D792" s="98"/>
      <c r="E792" s="275"/>
    </row>
    <row r="793" spans="1:5" ht="15">
      <c r="A793" s="129"/>
      <c r="B793" s="273"/>
      <c r="C793" s="98"/>
      <c r="D793" s="98"/>
      <c r="E793" s="275"/>
    </row>
    <row r="794" spans="1:5" ht="15">
      <c r="A794" s="129"/>
      <c r="B794" s="273"/>
      <c r="C794" s="98"/>
      <c r="D794" s="98"/>
      <c r="E794" s="275"/>
    </row>
    <row r="795" spans="1:5" ht="15">
      <c r="A795" s="129"/>
      <c r="B795" s="273"/>
      <c r="C795" s="98"/>
      <c r="D795" s="98"/>
      <c r="E795" s="275"/>
    </row>
    <row r="796" spans="1:5" ht="15">
      <c r="A796" s="129"/>
      <c r="B796" s="273"/>
      <c r="C796" s="98"/>
      <c r="D796" s="98"/>
      <c r="E796" s="275"/>
    </row>
    <row r="797" spans="1:5" ht="15">
      <c r="A797" s="129"/>
      <c r="B797" s="273"/>
      <c r="C797" s="98"/>
      <c r="D797" s="98"/>
      <c r="E797" s="275"/>
    </row>
    <row r="798" spans="1:5" ht="15">
      <c r="A798" s="129"/>
      <c r="B798" s="273"/>
      <c r="C798" s="98"/>
      <c r="D798" s="98"/>
      <c r="E798" s="275"/>
    </row>
    <row r="799" spans="1:5" ht="15">
      <c r="A799" s="129"/>
      <c r="B799" s="273"/>
      <c r="C799" s="98"/>
      <c r="D799" s="98"/>
      <c r="E799" s="275"/>
    </row>
    <row r="800" spans="1:5" ht="15">
      <c r="A800" s="129"/>
      <c r="B800" s="273"/>
      <c r="C800" s="98"/>
      <c r="D800" s="98"/>
      <c r="E800" s="275"/>
    </row>
    <row r="801" spans="1:5" ht="15">
      <c r="A801" s="129"/>
      <c r="B801" s="273"/>
      <c r="C801" s="98"/>
      <c r="D801" s="98"/>
      <c r="E801" s="275"/>
    </row>
    <row r="802" spans="1:5" ht="15">
      <c r="A802" s="129"/>
      <c r="B802" s="273"/>
      <c r="C802" s="98"/>
      <c r="D802" s="98"/>
      <c r="E802" s="275"/>
    </row>
    <row r="803" spans="1:5" ht="15">
      <c r="A803" s="129"/>
      <c r="B803" s="273"/>
      <c r="C803" s="98"/>
      <c r="D803" s="98"/>
      <c r="E803" s="275"/>
    </row>
    <row r="804" spans="1:5" ht="15">
      <c r="A804" s="129"/>
      <c r="B804" s="273"/>
      <c r="C804" s="98"/>
      <c r="D804" s="98"/>
      <c r="E804" s="275"/>
    </row>
    <row r="805" spans="1:5" ht="15">
      <c r="A805" s="129"/>
      <c r="B805" s="273"/>
      <c r="C805" s="98"/>
      <c r="D805" s="98"/>
      <c r="E805" s="275"/>
    </row>
    <row r="806" spans="1:5" ht="15">
      <c r="A806" s="129"/>
      <c r="B806" s="273"/>
      <c r="C806" s="98"/>
      <c r="D806" s="98"/>
      <c r="E806" s="275"/>
    </row>
    <row r="807" spans="1:5" ht="15">
      <c r="A807" s="129"/>
      <c r="B807" s="273"/>
      <c r="C807" s="98"/>
      <c r="D807" s="98"/>
      <c r="E807" s="275"/>
    </row>
    <row r="808" spans="1:5" ht="15">
      <c r="A808" s="129"/>
      <c r="B808" s="273"/>
      <c r="C808" s="98"/>
      <c r="D808" s="98"/>
      <c r="E808" s="275"/>
    </row>
    <row r="809" spans="1:5" ht="15">
      <c r="A809" s="129"/>
      <c r="B809" s="273"/>
      <c r="C809" s="98"/>
      <c r="D809" s="98"/>
      <c r="E809" s="275"/>
    </row>
    <row r="810" spans="1:5" ht="15">
      <c r="A810" s="129"/>
      <c r="B810" s="273"/>
      <c r="C810" s="98"/>
      <c r="D810" s="98"/>
      <c r="E810" s="275"/>
    </row>
    <row r="811" spans="1:5" ht="15">
      <c r="A811" s="129"/>
      <c r="B811" s="273"/>
      <c r="C811" s="98"/>
      <c r="D811" s="98"/>
      <c r="E811" s="275"/>
    </row>
    <row r="812" spans="1:5" ht="15">
      <c r="A812" s="129"/>
      <c r="B812" s="273"/>
      <c r="C812" s="98"/>
      <c r="D812" s="98"/>
      <c r="E812" s="275"/>
    </row>
    <row r="813" spans="1:5" ht="15">
      <c r="A813" s="129"/>
      <c r="B813" s="273"/>
      <c r="C813" s="98"/>
      <c r="D813" s="98"/>
      <c r="E813" s="275"/>
    </row>
    <row r="814" spans="1:5" ht="15">
      <c r="A814" s="129"/>
      <c r="B814" s="273"/>
      <c r="C814" s="98"/>
      <c r="D814" s="98"/>
      <c r="E814" s="275"/>
    </row>
    <row r="815" spans="1:5" ht="15">
      <c r="A815" s="129"/>
      <c r="B815" s="273"/>
      <c r="C815" s="98"/>
      <c r="D815" s="98"/>
      <c r="E815" s="275"/>
    </row>
    <row r="816" spans="1:5" ht="15">
      <c r="A816" s="129"/>
      <c r="B816" s="273"/>
      <c r="C816" s="98"/>
      <c r="D816" s="98"/>
      <c r="E816" s="275"/>
    </row>
    <row r="817" spans="1:5" ht="15">
      <c r="A817" s="129"/>
      <c r="B817" s="273"/>
      <c r="C817" s="98"/>
      <c r="D817" s="98"/>
      <c r="E817" s="275"/>
    </row>
    <row r="818" spans="1:5" ht="15">
      <c r="A818" s="129"/>
      <c r="B818" s="273"/>
      <c r="C818" s="98"/>
      <c r="D818" s="98"/>
      <c r="E818" s="275"/>
    </row>
    <row r="819" spans="1:5" ht="15">
      <c r="A819" s="129"/>
      <c r="B819" s="273"/>
      <c r="C819" s="98"/>
      <c r="D819" s="98"/>
      <c r="E819" s="275"/>
    </row>
    <row r="820" spans="1:5" ht="15">
      <c r="A820" s="129"/>
      <c r="B820" s="273"/>
      <c r="C820" s="98"/>
      <c r="D820" s="98"/>
      <c r="E820" s="275"/>
    </row>
    <row r="821" spans="1:5" ht="15">
      <c r="A821" s="129"/>
      <c r="B821" s="273"/>
      <c r="C821" s="98"/>
      <c r="D821" s="98"/>
      <c r="E821" s="275"/>
    </row>
    <row r="822" spans="1:5" ht="15">
      <c r="A822" s="129"/>
      <c r="B822" s="273"/>
      <c r="C822" s="98"/>
      <c r="D822" s="98"/>
      <c r="E822" s="275"/>
    </row>
    <row r="823" spans="1:5" ht="15">
      <c r="A823" s="129"/>
      <c r="B823" s="273"/>
      <c r="C823" s="98"/>
      <c r="D823" s="98"/>
      <c r="E823" s="275"/>
    </row>
    <row r="824" spans="1:5" ht="15">
      <c r="A824" s="129"/>
      <c r="B824" s="273"/>
      <c r="C824" s="98"/>
      <c r="D824" s="98"/>
      <c r="E824" s="275"/>
    </row>
    <row r="825" spans="1:5" ht="15">
      <c r="A825" s="129"/>
      <c r="B825" s="273"/>
      <c r="C825" s="98"/>
      <c r="D825" s="98"/>
      <c r="E825" s="275"/>
    </row>
    <row r="826" spans="1:5" ht="15">
      <c r="A826" s="129"/>
      <c r="B826" s="273"/>
      <c r="C826" s="98"/>
      <c r="D826" s="98"/>
      <c r="E826" s="275"/>
    </row>
    <row r="827" spans="1:5" ht="15">
      <c r="A827" s="129"/>
      <c r="B827" s="273"/>
      <c r="C827" s="98"/>
      <c r="D827" s="98"/>
      <c r="E827" s="275"/>
    </row>
    <row r="828" spans="1:5" ht="15">
      <c r="A828" s="129"/>
      <c r="B828" s="273"/>
      <c r="C828" s="98"/>
      <c r="D828" s="98"/>
      <c r="E828" s="275"/>
    </row>
    <row r="829" spans="1:5" ht="15">
      <c r="A829" s="129"/>
      <c r="B829" s="273"/>
      <c r="C829" s="98"/>
      <c r="D829" s="98"/>
      <c r="E829" s="275"/>
    </row>
    <row r="830" spans="1:5" ht="15">
      <c r="A830" s="129"/>
      <c r="B830" s="273"/>
      <c r="C830" s="98"/>
      <c r="D830" s="98"/>
      <c r="E830" s="275"/>
    </row>
    <row r="831" spans="1:5" ht="15">
      <c r="A831" s="129"/>
      <c r="B831" s="273"/>
      <c r="C831" s="98"/>
      <c r="D831" s="98"/>
      <c r="E831" s="275"/>
    </row>
    <row r="832" spans="1:5" ht="15">
      <c r="A832" s="129"/>
      <c r="B832" s="273"/>
      <c r="C832" s="98"/>
      <c r="D832" s="98"/>
      <c r="E832" s="275"/>
    </row>
    <row r="833" spans="1:5" ht="15">
      <c r="A833" s="129"/>
      <c r="B833" s="273"/>
      <c r="C833" s="98"/>
      <c r="D833" s="98"/>
      <c r="E833" s="275"/>
    </row>
    <row r="834" spans="1:5" ht="15">
      <c r="A834" s="129"/>
      <c r="B834" s="273"/>
      <c r="C834" s="98"/>
      <c r="D834" s="98"/>
      <c r="E834" s="275"/>
    </row>
    <row r="835" spans="1:5" ht="15">
      <c r="A835" s="129"/>
      <c r="B835" s="273"/>
      <c r="C835" s="98"/>
      <c r="D835" s="98"/>
      <c r="E835" s="275"/>
    </row>
    <row r="836" spans="1:5" ht="15">
      <c r="A836" s="129"/>
      <c r="B836" s="273"/>
      <c r="C836" s="98"/>
      <c r="D836" s="98"/>
      <c r="E836" s="275"/>
    </row>
    <row r="837" spans="1:5" ht="15">
      <c r="A837" s="129"/>
      <c r="B837" s="273"/>
      <c r="C837" s="98"/>
      <c r="D837" s="98"/>
      <c r="E837" s="275"/>
    </row>
    <row r="838" spans="1:5" ht="15">
      <c r="A838" s="129"/>
      <c r="B838" s="273"/>
      <c r="C838" s="98"/>
      <c r="D838" s="98"/>
      <c r="E838" s="275"/>
    </row>
    <row r="839" spans="1:5" ht="15">
      <c r="A839" s="129"/>
      <c r="B839" s="273"/>
      <c r="C839" s="98"/>
      <c r="D839" s="98"/>
      <c r="E839" s="275"/>
    </row>
    <row r="840" spans="1:5" ht="15">
      <c r="A840" s="129"/>
      <c r="B840" s="273"/>
      <c r="C840" s="98"/>
      <c r="D840" s="98"/>
      <c r="E840" s="275"/>
    </row>
    <row r="841" spans="1:5" ht="15">
      <c r="A841" s="129"/>
      <c r="B841" s="273"/>
      <c r="C841" s="98"/>
      <c r="D841" s="98"/>
      <c r="E841" s="275"/>
    </row>
    <row r="842" spans="1:5" ht="15">
      <c r="A842" s="129"/>
      <c r="B842" s="273"/>
      <c r="C842" s="98"/>
      <c r="D842" s="98"/>
      <c r="E842" s="275"/>
    </row>
    <row r="843" spans="1:5" ht="15">
      <c r="A843" s="129"/>
      <c r="B843" s="273"/>
      <c r="C843" s="98"/>
      <c r="D843" s="98"/>
      <c r="E843" s="275"/>
    </row>
    <row r="844" spans="1:5" ht="15">
      <c r="A844" s="129"/>
      <c r="B844" s="273"/>
      <c r="C844" s="98"/>
      <c r="D844" s="98"/>
      <c r="E844" s="275"/>
    </row>
    <row r="845" spans="1:5" ht="15">
      <c r="A845" s="129"/>
      <c r="B845" s="273"/>
      <c r="C845" s="98"/>
      <c r="D845" s="98"/>
      <c r="E845" s="275"/>
    </row>
    <row r="846" spans="1:5" ht="15">
      <c r="A846" s="129"/>
      <c r="B846" s="273"/>
      <c r="C846" s="98"/>
      <c r="D846" s="98"/>
      <c r="E846" s="275"/>
    </row>
    <row r="847" spans="1:5" ht="15">
      <c r="A847" s="129"/>
      <c r="B847" s="273"/>
      <c r="C847" s="98"/>
      <c r="D847" s="98"/>
      <c r="E847" s="275"/>
    </row>
    <row r="848" spans="1:5" ht="15">
      <c r="A848" s="129"/>
      <c r="B848" s="273"/>
      <c r="C848" s="98"/>
      <c r="D848" s="98"/>
      <c r="E848" s="275"/>
    </row>
    <row r="849" spans="1:5" ht="15">
      <c r="A849" s="129"/>
      <c r="B849" s="273"/>
      <c r="C849" s="98"/>
      <c r="D849" s="98"/>
      <c r="E849" s="275"/>
    </row>
    <row r="850" spans="1:5" ht="15">
      <c r="A850" s="129"/>
      <c r="B850" s="273"/>
      <c r="C850" s="98"/>
      <c r="D850" s="98"/>
      <c r="E850" s="275"/>
    </row>
    <row r="851" spans="1:5" ht="15">
      <c r="A851" s="129"/>
      <c r="B851" s="273"/>
      <c r="C851" s="98"/>
      <c r="D851" s="98"/>
      <c r="E851" s="275"/>
    </row>
    <row r="852" spans="1:5" ht="15">
      <c r="A852" s="129"/>
      <c r="B852" s="273"/>
      <c r="C852" s="98"/>
      <c r="D852" s="98"/>
      <c r="E852" s="275"/>
    </row>
    <row r="853" spans="1:5" ht="15">
      <c r="A853" s="129"/>
      <c r="B853" s="273"/>
      <c r="C853" s="98"/>
      <c r="D853" s="98"/>
      <c r="E853" s="275"/>
    </row>
    <row r="854" spans="1:5" ht="15">
      <c r="A854" s="129"/>
      <c r="B854" s="273"/>
      <c r="C854" s="98"/>
      <c r="D854" s="98"/>
      <c r="E854" s="275"/>
    </row>
    <row r="855" spans="1:5" ht="15">
      <c r="A855" s="129"/>
      <c r="B855" s="273"/>
      <c r="C855" s="98"/>
      <c r="D855" s="98"/>
      <c r="E855" s="275"/>
    </row>
    <row r="856" spans="1:5" ht="15">
      <c r="A856" s="129"/>
      <c r="B856" s="273"/>
      <c r="C856" s="98"/>
      <c r="D856" s="98"/>
      <c r="E856" s="275"/>
    </row>
    <row r="857" spans="1:5" ht="15">
      <c r="A857" s="129"/>
      <c r="B857" s="273"/>
      <c r="C857" s="98"/>
      <c r="D857" s="98"/>
      <c r="E857" s="275"/>
    </row>
    <row r="858" spans="1:5" ht="15">
      <c r="A858" s="129"/>
      <c r="B858" s="273"/>
      <c r="C858" s="98"/>
      <c r="D858" s="98"/>
      <c r="E858" s="275"/>
    </row>
    <row r="859" spans="1:5" ht="15">
      <c r="A859" s="129"/>
      <c r="B859" s="273"/>
      <c r="C859" s="98"/>
      <c r="D859" s="98"/>
      <c r="E859" s="275"/>
    </row>
    <row r="860" spans="1:5" ht="15">
      <c r="A860" s="129"/>
      <c r="B860" s="273"/>
      <c r="C860" s="98"/>
      <c r="D860" s="98"/>
      <c r="E860" s="275"/>
    </row>
    <row r="861" spans="1:5" ht="15">
      <c r="A861" s="129"/>
      <c r="B861" s="273"/>
      <c r="C861" s="98"/>
      <c r="D861" s="98"/>
      <c r="E861" s="275"/>
    </row>
    <row r="862" spans="1:5" ht="15">
      <c r="A862" s="129"/>
      <c r="B862" s="273"/>
      <c r="C862" s="98"/>
      <c r="D862" s="98"/>
      <c r="E862" s="275"/>
    </row>
    <row r="863" spans="1:5" ht="15">
      <c r="A863" s="129"/>
      <c r="B863" s="273"/>
      <c r="C863" s="98"/>
      <c r="D863" s="98"/>
      <c r="E863" s="275"/>
    </row>
    <row r="864" spans="1:5" ht="15">
      <c r="A864" s="129"/>
      <c r="B864" s="273"/>
      <c r="C864" s="98"/>
      <c r="D864" s="98"/>
      <c r="E864" s="275"/>
    </row>
    <row r="865" spans="1:5" ht="15">
      <c r="A865" s="129"/>
      <c r="B865" s="273"/>
      <c r="C865" s="98"/>
      <c r="D865" s="98"/>
      <c r="E865" s="275"/>
    </row>
    <row r="866" spans="1:5" ht="15">
      <c r="A866" s="129"/>
      <c r="B866" s="273"/>
      <c r="C866" s="98"/>
      <c r="D866" s="98"/>
      <c r="E866" s="275"/>
    </row>
    <row r="867" spans="1:5" ht="15">
      <c r="A867" s="129"/>
      <c r="B867" s="273"/>
      <c r="C867" s="98"/>
      <c r="D867" s="98"/>
      <c r="E867" s="275"/>
    </row>
    <row r="868" spans="1:5" ht="15">
      <c r="A868" s="129"/>
      <c r="B868" s="273"/>
      <c r="C868" s="98"/>
      <c r="D868" s="98"/>
      <c r="E868" s="275"/>
    </row>
    <row r="869" spans="1:5" ht="15">
      <c r="A869" s="129"/>
      <c r="B869" s="273"/>
      <c r="C869" s="98"/>
      <c r="D869" s="98"/>
      <c r="E869" s="275"/>
    </row>
    <row r="870" spans="1:5" ht="15">
      <c r="A870" s="129"/>
      <c r="B870" s="273"/>
      <c r="C870" s="98"/>
      <c r="D870" s="98"/>
      <c r="E870" s="275"/>
    </row>
    <row r="871" spans="1:5" ht="15">
      <c r="A871" s="129"/>
      <c r="B871" s="273"/>
      <c r="C871" s="98"/>
      <c r="D871" s="98"/>
      <c r="E871" s="275"/>
    </row>
    <row r="872" spans="1:5" ht="15">
      <c r="A872" s="129"/>
      <c r="B872" s="273"/>
      <c r="C872" s="98"/>
      <c r="D872" s="98"/>
      <c r="E872" s="275"/>
    </row>
    <row r="873" spans="1:5" ht="15">
      <c r="A873" s="129"/>
      <c r="B873" s="273"/>
      <c r="C873" s="98"/>
      <c r="D873" s="98"/>
      <c r="E873" s="275"/>
    </row>
    <row r="874" spans="1:5" ht="15">
      <c r="A874" s="129"/>
      <c r="B874" s="273"/>
      <c r="C874" s="98"/>
      <c r="D874" s="98"/>
      <c r="E874" s="275"/>
    </row>
    <row r="875" spans="1:5" ht="15">
      <c r="A875" s="129"/>
      <c r="B875" s="273"/>
      <c r="C875" s="98"/>
      <c r="D875" s="98"/>
      <c r="E875" s="275"/>
    </row>
    <row r="876" spans="1:5" ht="15">
      <c r="A876" s="129"/>
      <c r="B876" s="273"/>
      <c r="C876" s="98"/>
      <c r="D876" s="98"/>
      <c r="E876" s="275"/>
    </row>
    <row r="877" spans="1:5" ht="15">
      <c r="A877" s="129"/>
      <c r="B877" s="273"/>
      <c r="C877" s="98"/>
      <c r="D877" s="98"/>
      <c r="E877" s="275"/>
    </row>
    <row r="878" spans="1:5" ht="15">
      <c r="A878" s="129"/>
      <c r="B878" s="273"/>
      <c r="C878" s="98"/>
      <c r="D878" s="98"/>
      <c r="E878" s="275"/>
    </row>
    <row r="879" spans="1:5" ht="15">
      <c r="A879" s="129"/>
      <c r="B879" s="273"/>
      <c r="C879" s="98"/>
      <c r="D879" s="98"/>
      <c r="E879" s="275"/>
    </row>
    <row r="880" spans="1:5" ht="15">
      <c r="A880" s="129"/>
      <c r="B880" s="273"/>
      <c r="C880" s="98"/>
      <c r="D880" s="98"/>
      <c r="E880" s="275"/>
    </row>
    <row r="881" spans="1:5" ht="15">
      <c r="A881" s="129"/>
      <c r="B881" s="273"/>
      <c r="C881" s="98"/>
      <c r="D881" s="98"/>
      <c r="E881" s="275"/>
    </row>
    <row r="882" spans="1:5" ht="15">
      <c r="A882" s="129"/>
      <c r="B882" s="273"/>
      <c r="C882" s="98"/>
      <c r="D882" s="98"/>
      <c r="E882" s="275"/>
    </row>
    <row r="883" spans="1:5" ht="15">
      <c r="A883" s="129"/>
      <c r="B883" s="273"/>
      <c r="C883" s="98"/>
      <c r="D883" s="98"/>
      <c r="E883" s="275"/>
    </row>
    <row r="884" spans="1:5" ht="15">
      <c r="A884" s="129"/>
      <c r="B884" s="273"/>
      <c r="C884" s="98"/>
      <c r="D884" s="98"/>
      <c r="E884" s="275"/>
    </row>
    <row r="885" spans="1:5" ht="15">
      <c r="A885" s="129"/>
      <c r="B885" s="273"/>
      <c r="C885" s="98"/>
      <c r="D885" s="98"/>
      <c r="E885" s="275"/>
    </row>
    <row r="886" spans="1:5" ht="15">
      <c r="A886" s="129"/>
      <c r="B886" s="273"/>
      <c r="C886" s="98"/>
      <c r="D886" s="98"/>
      <c r="E886" s="275"/>
    </row>
    <row r="887" spans="1:5" ht="15">
      <c r="A887" s="129"/>
      <c r="B887" s="273"/>
      <c r="C887" s="98"/>
      <c r="D887" s="98"/>
      <c r="E887" s="275"/>
    </row>
    <row r="888" spans="1:5" ht="15">
      <c r="A888" s="129"/>
      <c r="B888" s="273"/>
      <c r="C888" s="98"/>
      <c r="D888" s="98"/>
      <c r="E888" s="275"/>
    </row>
    <row r="889" spans="1:5" ht="15">
      <c r="A889" s="129"/>
      <c r="B889" s="273"/>
      <c r="C889" s="98"/>
      <c r="D889" s="98"/>
      <c r="E889" s="275"/>
    </row>
    <row r="890" spans="1:5" ht="15">
      <c r="A890" s="129"/>
      <c r="B890" s="273"/>
      <c r="C890" s="98"/>
      <c r="D890" s="98"/>
      <c r="E890" s="275"/>
    </row>
    <row r="891" spans="1:5" ht="15">
      <c r="A891" s="129"/>
      <c r="B891" s="273"/>
      <c r="C891" s="98"/>
      <c r="D891" s="98"/>
      <c r="E891" s="275"/>
    </row>
    <row r="892" spans="1:5" ht="15">
      <c r="A892" s="129"/>
      <c r="B892" s="273"/>
      <c r="C892" s="98"/>
      <c r="D892" s="98"/>
      <c r="E892" s="275"/>
    </row>
    <row r="893" spans="1:5" ht="15">
      <c r="A893" s="129"/>
      <c r="B893" s="273"/>
      <c r="C893" s="98"/>
      <c r="D893" s="98"/>
      <c r="E893" s="275"/>
    </row>
    <row r="894" spans="1:5" ht="15">
      <c r="A894" s="129"/>
      <c r="B894" s="273"/>
      <c r="C894" s="98"/>
      <c r="D894" s="98"/>
      <c r="E894" s="275"/>
    </row>
    <row r="895" spans="1:5" ht="15">
      <c r="A895" s="129"/>
      <c r="B895" s="273"/>
      <c r="C895" s="98"/>
      <c r="D895" s="98"/>
      <c r="E895" s="275"/>
    </row>
    <row r="896" spans="1:5" ht="15">
      <c r="A896" s="129"/>
      <c r="B896" s="273"/>
      <c r="C896" s="98"/>
      <c r="D896" s="98"/>
      <c r="E896" s="275"/>
    </row>
    <row r="897" spans="1:5" ht="15">
      <c r="A897" s="129"/>
      <c r="B897" s="273"/>
      <c r="C897" s="98"/>
      <c r="D897" s="98"/>
      <c r="E897" s="275"/>
    </row>
    <row r="898" spans="1:5" ht="15">
      <c r="A898" s="129"/>
      <c r="B898" s="273"/>
      <c r="C898" s="98"/>
      <c r="D898" s="98"/>
      <c r="E898" s="275"/>
    </row>
    <row r="899" spans="1:5" ht="15">
      <c r="A899" s="129"/>
      <c r="B899" s="273"/>
      <c r="C899" s="98"/>
      <c r="D899" s="98"/>
      <c r="E899" s="275"/>
    </row>
    <row r="900" spans="1:5" ht="15">
      <c r="A900" s="129"/>
      <c r="B900" s="273"/>
      <c r="C900" s="98"/>
      <c r="D900" s="98"/>
      <c r="E900" s="275"/>
    </row>
    <row r="901" spans="1:5" ht="15">
      <c r="A901" s="129"/>
      <c r="B901" s="273"/>
      <c r="C901" s="98"/>
      <c r="D901" s="98"/>
      <c r="E901" s="275"/>
    </row>
    <row r="902" spans="1:5" ht="15">
      <c r="A902" s="129"/>
      <c r="B902" s="273"/>
      <c r="C902" s="98"/>
      <c r="D902" s="98"/>
      <c r="E902" s="275"/>
    </row>
    <row r="903" spans="1:5" ht="15">
      <c r="A903" s="129"/>
      <c r="B903" s="273"/>
      <c r="C903" s="98"/>
      <c r="D903" s="98"/>
      <c r="E903" s="275"/>
    </row>
    <row r="904" spans="1:5" ht="15">
      <c r="A904" s="129"/>
      <c r="B904" s="273"/>
      <c r="C904" s="98"/>
      <c r="D904" s="98"/>
      <c r="E904" s="275"/>
    </row>
    <row r="905" spans="1:5" ht="15">
      <c r="A905" s="129"/>
      <c r="B905" s="273"/>
      <c r="C905" s="98"/>
      <c r="D905" s="98"/>
      <c r="E905" s="275"/>
    </row>
    <row r="906" spans="1:5" ht="15">
      <c r="A906" s="129"/>
      <c r="B906" s="273"/>
      <c r="C906" s="98"/>
      <c r="D906" s="98"/>
      <c r="E906" s="275"/>
    </row>
    <row r="907" spans="1:5" ht="15">
      <c r="A907" s="129"/>
      <c r="B907" s="273"/>
      <c r="C907" s="98"/>
      <c r="D907" s="98"/>
      <c r="E907" s="275"/>
    </row>
    <row r="908" spans="1:5" ht="15">
      <c r="A908" s="129"/>
      <c r="B908" s="273"/>
      <c r="C908" s="98"/>
      <c r="D908" s="98"/>
      <c r="E908" s="275"/>
    </row>
    <row r="909" spans="1:5" ht="15">
      <c r="A909" s="129"/>
      <c r="B909" s="273"/>
      <c r="C909" s="98"/>
      <c r="D909" s="98"/>
      <c r="E909" s="275"/>
    </row>
    <row r="910" spans="1:5" ht="15">
      <c r="A910" s="129"/>
      <c r="B910" s="273"/>
      <c r="C910" s="98"/>
      <c r="D910" s="98"/>
      <c r="E910" s="275"/>
    </row>
    <row r="911" spans="1:5" ht="15">
      <c r="A911" s="129"/>
      <c r="B911" s="273"/>
      <c r="C911" s="98"/>
      <c r="D911" s="98"/>
      <c r="E911" s="275"/>
    </row>
    <row r="912" spans="1:5" ht="15">
      <c r="A912" s="129"/>
      <c r="B912" s="273"/>
      <c r="C912" s="98"/>
      <c r="D912" s="98"/>
      <c r="E912" s="275"/>
    </row>
    <row r="913" spans="1:5" ht="15">
      <c r="A913" s="129"/>
      <c r="B913" s="273"/>
      <c r="C913" s="98"/>
      <c r="D913" s="98"/>
      <c r="E913" s="275"/>
    </row>
    <row r="914" spans="1:5" ht="15">
      <c r="A914" s="129"/>
      <c r="B914" s="273"/>
      <c r="C914" s="98"/>
      <c r="D914" s="98"/>
      <c r="E914" s="275"/>
    </row>
    <row r="915" spans="1:5" ht="15">
      <c r="A915" s="129"/>
      <c r="B915" s="273"/>
      <c r="C915" s="98"/>
      <c r="D915" s="98"/>
      <c r="E915" s="275"/>
    </row>
    <row r="916" spans="1:5" ht="15">
      <c r="A916" s="129"/>
      <c r="B916" s="273"/>
      <c r="C916" s="98"/>
      <c r="D916" s="98"/>
      <c r="E916" s="275"/>
    </row>
    <row r="917" spans="1:5" ht="15">
      <c r="A917" s="129"/>
      <c r="B917" s="273"/>
      <c r="C917" s="98"/>
      <c r="D917" s="98"/>
      <c r="E917" s="275"/>
    </row>
    <row r="918" spans="1:5" ht="15">
      <c r="A918" s="129"/>
      <c r="B918" s="273"/>
      <c r="C918" s="98"/>
      <c r="D918" s="98"/>
      <c r="E918" s="275"/>
    </row>
    <row r="919" spans="1:5" ht="15">
      <c r="A919" s="129"/>
      <c r="B919" s="273"/>
      <c r="C919" s="98"/>
      <c r="D919" s="98"/>
      <c r="E919" s="275"/>
    </row>
    <row r="920" spans="1:5" ht="15">
      <c r="A920" s="129"/>
      <c r="B920" s="273"/>
      <c r="C920" s="98"/>
      <c r="D920" s="98"/>
      <c r="E920" s="275"/>
    </row>
    <row r="921" spans="1:5" ht="15">
      <c r="A921" s="129"/>
      <c r="B921" s="273"/>
      <c r="C921" s="98"/>
      <c r="D921" s="98"/>
      <c r="E921" s="275"/>
    </row>
    <row r="922" spans="1:5" ht="15">
      <c r="A922" s="129"/>
      <c r="B922" s="273"/>
      <c r="C922" s="98"/>
      <c r="D922" s="98"/>
      <c r="E922" s="275"/>
    </row>
    <row r="923" spans="1:5" ht="15">
      <c r="A923" s="129"/>
      <c r="B923" s="273"/>
      <c r="C923" s="98"/>
      <c r="D923" s="98"/>
      <c r="E923" s="275"/>
    </row>
    <row r="924" spans="1:5" ht="15">
      <c r="A924" s="129"/>
      <c r="B924" s="273"/>
      <c r="C924" s="98"/>
      <c r="D924" s="98"/>
      <c r="E924" s="275"/>
    </row>
    <row r="925" spans="1:5" ht="15">
      <c r="A925" s="129"/>
      <c r="B925" s="273"/>
      <c r="C925" s="98"/>
      <c r="D925" s="98"/>
      <c r="E925" s="275"/>
    </row>
    <row r="926" spans="1:5" ht="15">
      <c r="A926" s="129"/>
      <c r="B926" s="273"/>
      <c r="C926" s="98"/>
      <c r="D926" s="98"/>
      <c r="E926" s="275"/>
    </row>
    <row r="927" spans="1:5" ht="15">
      <c r="A927" s="129"/>
      <c r="B927" s="273"/>
      <c r="C927" s="98"/>
      <c r="D927" s="98"/>
      <c r="E927" s="275"/>
    </row>
    <row r="928" spans="1:5" ht="15">
      <c r="A928" s="129"/>
      <c r="B928" s="273"/>
      <c r="C928" s="98"/>
      <c r="D928" s="98"/>
      <c r="E928" s="275"/>
    </row>
    <row r="929" spans="1:5" ht="15">
      <c r="A929" s="129"/>
      <c r="B929" s="273"/>
      <c r="C929" s="98"/>
      <c r="D929" s="98"/>
      <c r="E929" s="275"/>
    </row>
    <row r="930" spans="1:5" ht="15">
      <c r="A930" s="129"/>
      <c r="B930" s="273"/>
      <c r="C930" s="98"/>
      <c r="D930" s="98"/>
      <c r="E930" s="275"/>
    </row>
    <row r="931" spans="1:5" ht="15">
      <c r="A931" s="129"/>
      <c r="B931" s="273"/>
      <c r="C931" s="98"/>
      <c r="D931" s="98"/>
      <c r="E931" s="275"/>
    </row>
    <row r="932" spans="1:5" ht="15">
      <c r="A932" s="129"/>
      <c r="B932" s="273"/>
      <c r="C932" s="98"/>
      <c r="D932" s="98"/>
      <c r="E932" s="275"/>
    </row>
    <row r="933" spans="1:5" ht="15">
      <c r="A933" s="129"/>
      <c r="B933" s="273"/>
      <c r="C933" s="98"/>
      <c r="D933" s="98"/>
      <c r="E933" s="275"/>
    </row>
    <row r="934" spans="1:5" ht="15">
      <c r="A934" s="129"/>
      <c r="B934" s="273"/>
      <c r="C934" s="98"/>
      <c r="D934" s="98"/>
      <c r="E934" s="275"/>
    </row>
    <row r="935" spans="1:5" ht="15">
      <c r="A935" s="129"/>
      <c r="B935" s="273"/>
      <c r="C935" s="98"/>
      <c r="D935" s="98"/>
      <c r="E935" s="275"/>
    </row>
    <row r="936" spans="1:5" ht="15">
      <c r="A936" s="129"/>
      <c r="B936" s="273"/>
      <c r="C936" s="98"/>
      <c r="D936" s="98"/>
      <c r="E936" s="275"/>
    </row>
    <row r="937" spans="1:5" ht="15">
      <c r="A937" s="129"/>
      <c r="B937" s="273"/>
      <c r="C937" s="98"/>
      <c r="D937" s="98"/>
      <c r="E937" s="275"/>
    </row>
    <row r="938" spans="1:5" ht="15">
      <c r="A938" s="129"/>
      <c r="B938" s="273"/>
      <c r="C938" s="98"/>
      <c r="D938" s="98"/>
      <c r="E938" s="275"/>
    </row>
    <row r="939" spans="1:5" ht="15">
      <c r="A939" s="129"/>
      <c r="B939" s="273"/>
      <c r="C939" s="98"/>
      <c r="D939" s="98"/>
      <c r="E939" s="275"/>
    </row>
    <row r="940" spans="1:5" ht="15">
      <c r="A940" s="129"/>
      <c r="B940" s="273"/>
      <c r="C940" s="98"/>
      <c r="D940" s="98"/>
      <c r="E940" s="275"/>
    </row>
    <row r="941" spans="1:5" ht="15">
      <c r="A941" s="129"/>
      <c r="B941" s="273"/>
      <c r="C941" s="98"/>
      <c r="D941" s="98"/>
      <c r="E941" s="275"/>
    </row>
    <row r="942" spans="1:5" ht="15">
      <c r="A942" s="129"/>
      <c r="B942" s="273"/>
      <c r="C942" s="98"/>
      <c r="D942" s="98"/>
      <c r="E942" s="275"/>
    </row>
    <row r="943" spans="1:5" ht="15">
      <c r="A943" s="129"/>
      <c r="B943" s="273"/>
      <c r="C943" s="98"/>
      <c r="D943" s="98"/>
      <c r="E943" s="275"/>
    </row>
    <row r="944" spans="1:5" ht="15">
      <c r="A944" s="129"/>
      <c r="B944" s="273"/>
      <c r="C944" s="98"/>
      <c r="D944" s="98"/>
      <c r="E944" s="275"/>
    </row>
    <row r="945" spans="1:5" ht="15">
      <c r="A945" s="129"/>
      <c r="B945" s="273"/>
      <c r="C945" s="98"/>
      <c r="D945" s="98"/>
      <c r="E945" s="275"/>
    </row>
    <row r="946" spans="1:5" ht="15">
      <c r="A946" s="129"/>
      <c r="B946" s="273"/>
      <c r="C946" s="98"/>
      <c r="D946" s="98"/>
      <c r="E946" s="275"/>
    </row>
    <row r="947" spans="1:5" ht="15">
      <c r="A947" s="129"/>
      <c r="B947" s="273"/>
      <c r="C947" s="98"/>
      <c r="D947" s="98"/>
      <c r="E947" s="275"/>
    </row>
    <row r="948" spans="1:5" ht="15">
      <c r="A948" s="129"/>
      <c r="B948" s="273"/>
      <c r="C948" s="98"/>
      <c r="D948" s="98"/>
      <c r="E948" s="275"/>
    </row>
    <row r="949" spans="1:5" ht="15">
      <c r="A949" s="129"/>
      <c r="B949" s="273"/>
      <c r="C949" s="98"/>
      <c r="D949" s="98"/>
      <c r="E949" s="275"/>
    </row>
    <row r="950" spans="1:5" ht="15">
      <c r="A950" s="129"/>
      <c r="B950" s="273"/>
      <c r="C950" s="98"/>
      <c r="D950" s="98"/>
      <c r="E950" s="275"/>
    </row>
    <row r="951" spans="1:5" ht="15">
      <c r="A951" s="129"/>
      <c r="B951" s="273"/>
      <c r="C951" s="98"/>
      <c r="D951" s="98"/>
      <c r="E951" s="275"/>
    </row>
    <row r="952" spans="1:5" ht="15">
      <c r="A952" s="129"/>
      <c r="B952" s="273"/>
      <c r="C952" s="98"/>
      <c r="D952" s="98"/>
      <c r="E952" s="275"/>
    </row>
    <row r="953" spans="1:5" ht="15">
      <c r="A953" s="129"/>
      <c r="B953" s="273"/>
      <c r="C953" s="98"/>
      <c r="D953" s="98"/>
      <c r="E953" s="275"/>
    </row>
    <row r="954" spans="1:5" ht="15">
      <c r="A954" s="129"/>
      <c r="B954" s="273"/>
      <c r="C954" s="98"/>
      <c r="D954" s="98"/>
      <c r="E954" s="275"/>
    </row>
    <row r="955" spans="1:5" ht="15">
      <c r="A955" s="129"/>
      <c r="B955" s="273"/>
      <c r="C955" s="98"/>
      <c r="D955" s="98"/>
      <c r="E955" s="275"/>
    </row>
    <row r="956" spans="1:5" ht="15">
      <c r="A956" s="129"/>
      <c r="B956" s="273"/>
      <c r="C956" s="98"/>
      <c r="D956" s="98"/>
      <c r="E956" s="275"/>
    </row>
    <row r="957" spans="1:5" ht="15">
      <c r="A957" s="129"/>
      <c r="B957" s="273"/>
      <c r="C957" s="98"/>
      <c r="D957" s="98"/>
      <c r="E957" s="275"/>
    </row>
    <row r="958" spans="1:5" ht="15">
      <c r="A958" s="129"/>
      <c r="B958" s="273"/>
      <c r="C958" s="98"/>
      <c r="D958" s="98"/>
      <c r="E958" s="275"/>
    </row>
    <row r="959" spans="1:5" ht="15">
      <c r="A959" s="129"/>
      <c r="B959" s="273"/>
      <c r="C959" s="98"/>
      <c r="D959" s="98"/>
      <c r="E959" s="275"/>
    </row>
    <row r="960" spans="1:5" ht="15">
      <c r="A960" s="129"/>
      <c r="B960" s="273"/>
      <c r="C960" s="98"/>
      <c r="D960" s="98"/>
      <c r="E960" s="275"/>
    </row>
    <row r="961" spans="1:5" ht="15">
      <c r="A961" s="129"/>
      <c r="B961" s="273"/>
      <c r="C961" s="98"/>
      <c r="D961" s="98"/>
      <c r="E961" s="275"/>
    </row>
    <row r="962" spans="1:5" ht="15">
      <c r="A962" s="129"/>
      <c r="B962" s="273"/>
      <c r="C962" s="98"/>
      <c r="D962" s="98"/>
      <c r="E962" s="275"/>
    </row>
    <row r="963" spans="1:5" ht="15">
      <c r="A963" s="129"/>
      <c r="B963" s="273"/>
      <c r="C963" s="98"/>
      <c r="D963" s="98"/>
      <c r="E963" s="275"/>
    </row>
    <row r="964" spans="1:5" ht="15">
      <c r="A964" s="129"/>
      <c r="B964" s="273"/>
      <c r="C964" s="98"/>
      <c r="D964" s="98"/>
      <c r="E964" s="275"/>
    </row>
    <row r="965" spans="1:5" ht="15">
      <c r="A965" s="129"/>
      <c r="B965" s="273"/>
      <c r="C965" s="98"/>
      <c r="D965" s="98"/>
      <c r="E965" s="275"/>
    </row>
    <row r="966" spans="1:5" ht="15">
      <c r="A966" s="129"/>
      <c r="B966" s="273"/>
      <c r="C966" s="98"/>
      <c r="D966" s="98"/>
      <c r="E966" s="275"/>
    </row>
    <row r="967" spans="1:5" ht="15">
      <c r="A967" s="129"/>
      <c r="B967" s="273"/>
      <c r="C967" s="98"/>
      <c r="D967" s="98"/>
      <c r="E967" s="275"/>
    </row>
    <row r="968" spans="1:5" ht="15">
      <c r="A968" s="129"/>
      <c r="B968" s="273"/>
      <c r="C968" s="98"/>
      <c r="D968" s="98"/>
      <c r="E968" s="275"/>
    </row>
    <row r="969" spans="1:5" ht="15">
      <c r="A969" s="129"/>
      <c r="B969" s="273"/>
      <c r="C969" s="98"/>
      <c r="D969" s="98"/>
      <c r="E969" s="275"/>
    </row>
    <row r="970" spans="1:5" ht="15">
      <c r="A970" s="129"/>
      <c r="B970" s="273"/>
      <c r="C970" s="98"/>
      <c r="D970" s="98"/>
      <c r="E970" s="275"/>
    </row>
    <row r="971" spans="1:5" ht="15">
      <c r="A971" s="129"/>
      <c r="B971" s="273"/>
      <c r="C971" s="98"/>
      <c r="D971" s="98"/>
      <c r="E971" s="275"/>
    </row>
    <row r="972" spans="1:5" ht="15">
      <c r="A972" s="129"/>
      <c r="B972" s="273"/>
      <c r="C972" s="98"/>
      <c r="D972" s="98"/>
      <c r="E972" s="275"/>
    </row>
    <row r="973" spans="1:5" ht="15">
      <c r="A973" s="129"/>
      <c r="B973" s="273"/>
      <c r="C973" s="98"/>
      <c r="D973" s="98"/>
      <c r="E973" s="275"/>
    </row>
    <row r="974" spans="1:5" ht="15">
      <c r="A974" s="129"/>
      <c r="B974" s="273"/>
      <c r="C974" s="98"/>
      <c r="D974" s="98"/>
      <c r="E974" s="275"/>
    </row>
    <row r="975" spans="1:5" ht="15">
      <c r="A975" s="129"/>
      <c r="B975" s="273"/>
      <c r="C975" s="98"/>
      <c r="D975" s="98"/>
      <c r="E975" s="275"/>
    </row>
    <row r="976" spans="1:5" ht="15">
      <c r="A976" s="129"/>
      <c r="B976" s="273"/>
      <c r="C976" s="98"/>
      <c r="D976" s="98"/>
      <c r="E976" s="275"/>
    </row>
    <row r="977" spans="1:5" ht="15">
      <c r="A977" s="129"/>
      <c r="B977" s="273"/>
      <c r="C977" s="98"/>
      <c r="D977" s="98"/>
      <c r="E977" s="275"/>
    </row>
    <row r="978" spans="1:5" ht="15">
      <c r="A978" s="129"/>
      <c r="B978" s="273"/>
      <c r="C978" s="98"/>
      <c r="D978" s="98"/>
      <c r="E978" s="275"/>
    </row>
    <row r="979" spans="1:5" ht="15">
      <c r="A979" s="129"/>
      <c r="B979" s="273"/>
      <c r="C979" s="98"/>
      <c r="D979" s="98"/>
      <c r="E979" s="275"/>
    </row>
    <row r="980" spans="1:5" ht="15">
      <c r="A980" s="129"/>
      <c r="B980" s="273"/>
      <c r="C980" s="98"/>
      <c r="D980" s="98"/>
      <c r="E980" s="275"/>
    </row>
    <row r="981" spans="1:5" ht="15">
      <c r="A981" s="129"/>
      <c r="B981" s="273"/>
      <c r="C981" s="98"/>
      <c r="D981" s="98"/>
      <c r="E981" s="275"/>
    </row>
    <row r="982" spans="1:5" ht="15">
      <c r="A982" s="129"/>
      <c r="B982" s="273"/>
      <c r="C982" s="98"/>
      <c r="D982" s="98"/>
      <c r="E982" s="275"/>
    </row>
    <row r="983" spans="1:5" ht="15">
      <c r="A983" s="129"/>
      <c r="B983" s="273"/>
      <c r="C983" s="98"/>
      <c r="D983" s="98"/>
      <c r="E983" s="275"/>
    </row>
    <row r="984" spans="1:5" ht="15">
      <c r="A984" s="129"/>
      <c r="B984" s="273"/>
      <c r="C984" s="98"/>
      <c r="D984" s="98"/>
      <c r="E984" s="275"/>
    </row>
    <row r="985" spans="1:5" ht="15">
      <c r="A985" s="129"/>
      <c r="B985" s="273"/>
      <c r="C985" s="98"/>
      <c r="D985" s="98"/>
      <c r="E985" s="275"/>
    </row>
    <row r="986" spans="1:5" ht="15">
      <c r="A986" s="129"/>
      <c r="B986" s="273"/>
      <c r="C986" s="98"/>
      <c r="D986" s="98"/>
      <c r="E986" s="275"/>
    </row>
    <row r="987" spans="1:5" ht="15">
      <c r="A987" s="129"/>
      <c r="B987" s="273"/>
      <c r="C987" s="98"/>
      <c r="D987" s="98"/>
      <c r="E987" s="275"/>
    </row>
    <row r="988" spans="1:5" ht="15">
      <c r="A988" s="129"/>
      <c r="B988" s="273"/>
      <c r="C988" s="98"/>
      <c r="D988" s="98"/>
      <c r="E988" s="275"/>
    </row>
    <row r="989" spans="1:5" ht="15">
      <c r="A989" s="129"/>
      <c r="B989" s="273"/>
      <c r="C989" s="98"/>
      <c r="D989" s="98"/>
      <c r="E989" s="275"/>
    </row>
    <row r="990" spans="1:5" ht="15">
      <c r="A990" s="129"/>
      <c r="B990" s="273"/>
      <c r="C990" s="98"/>
      <c r="D990" s="98"/>
      <c r="E990" s="275"/>
    </row>
    <row r="991" spans="1:5" ht="15">
      <c r="A991" s="129"/>
      <c r="B991" s="273"/>
      <c r="C991" s="98"/>
      <c r="D991" s="98"/>
      <c r="E991" s="275"/>
    </row>
    <row r="992" spans="1:5" ht="15">
      <c r="A992" s="129"/>
      <c r="B992" s="273"/>
      <c r="C992" s="98"/>
      <c r="D992" s="98"/>
      <c r="E992" s="275"/>
    </row>
    <row r="993" spans="1:5" ht="15">
      <c r="A993" s="129"/>
      <c r="B993" s="273"/>
      <c r="C993" s="98"/>
      <c r="D993" s="98"/>
      <c r="E993" s="275"/>
    </row>
    <row r="994" spans="1:5" ht="15">
      <c r="A994" s="129"/>
      <c r="B994" s="273"/>
      <c r="C994" s="98"/>
      <c r="D994" s="98"/>
      <c r="E994" s="275"/>
    </row>
    <row r="995" spans="1:5" ht="15">
      <c r="A995" s="129"/>
      <c r="B995" s="273"/>
      <c r="C995" s="98"/>
      <c r="D995" s="98"/>
      <c r="E995" s="275"/>
    </row>
    <row r="996" spans="1:5" ht="15">
      <c r="A996" s="129"/>
      <c r="B996" s="273"/>
      <c r="C996" s="98"/>
      <c r="D996" s="98"/>
      <c r="E996" s="275"/>
    </row>
    <row r="997" spans="1:5" ht="15">
      <c r="A997" s="129"/>
      <c r="B997" s="273"/>
      <c r="C997" s="98"/>
      <c r="D997" s="98"/>
      <c r="E997" s="275"/>
    </row>
    <row r="998" spans="1:5" ht="15">
      <c r="A998" s="129"/>
      <c r="B998" s="273"/>
      <c r="C998" s="98"/>
      <c r="D998" s="98"/>
      <c r="E998" s="275"/>
    </row>
    <row r="999" spans="1:5" ht="15">
      <c r="A999" s="129"/>
      <c r="B999" s="273"/>
      <c r="C999" s="98"/>
      <c r="D999" s="98"/>
      <c r="E999" s="275"/>
    </row>
    <row r="1000" spans="1:5" ht="15">
      <c r="A1000" s="129"/>
      <c r="B1000" s="273"/>
      <c r="C1000" s="98"/>
      <c r="D1000" s="98"/>
      <c r="E1000" s="275"/>
    </row>
    <row r="1001" spans="1:5" ht="15">
      <c r="A1001" s="129"/>
      <c r="B1001" s="273"/>
      <c r="C1001" s="98"/>
      <c r="D1001" s="98"/>
      <c r="E1001" s="275"/>
    </row>
    <row r="1002" spans="1:5" ht="15">
      <c r="A1002" s="129"/>
      <c r="B1002" s="273"/>
      <c r="C1002" s="98"/>
      <c r="D1002" s="98"/>
      <c r="E1002" s="275"/>
    </row>
    <row r="1003" spans="1:5" ht="15">
      <c r="A1003" s="129"/>
      <c r="B1003" s="273"/>
      <c r="C1003" s="98"/>
      <c r="D1003" s="98"/>
      <c r="E1003" s="275"/>
    </row>
    <row r="1004" spans="1:5" ht="15">
      <c r="A1004" s="129"/>
      <c r="B1004" s="273"/>
      <c r="C1004" s="98"/>
      <c r="D1004" s="98"/>
      <c r="E1004" s="275"/>
    </row>
    <row r="1005" spans="1:5" ht="15">
      <c r="A1005" s="129"/>
      <c r="B1005" s="273"/>
      <c r="C1005" s="98"/>
      <c r="D1005" s="98"/>
      <c r="E1005" s="275"/>
    </row>
    <row r="1006" spans="1:5" ht="15">
      <c r="A1006" s="129"/>
      <c r="B1006" s="273"/>
      <c r="C1006" s="98"/>
      <c r="D1006" s="98"/>
      <c r="E1006" s="275"/>
    </row>
    <row r="1007" spans="1:5" ht="15">
      <c r="A1007" s="129"/>
      <c r="B1007" s="273"/>
      <c r="C1007" s="98"/>
      <c r="D1007" s="98"/>
      <c r="E1007" s="275"/>
    </row>
    <row r="1008" spans="1:5" ht="15">
      <c r="A1008" s="129"/>
      <c r="B1008" s="273"/>
      <c r="C1008" s="98"/>
      <c r="D1008" s="98"/>
      <c r="E1008" s="275"/>
    </row>
    <row r="1009" spans="1:5" ht="15">
      <c r="A1009" s="129"/>
      <c r="B1009" s="273"/>
      <c r="C1009" s="98"/>
      <c r="D1009" s="98"/>
      <c r="E1009" s="275"/>
    </row>
    <row r="1010" spans="1:5" ht="15">
      <c r="A1010" s="129"/>
      <c r="B1010" s="273"/>
      <c r="C1010" s="98"/>
      <c r="D1010" s="98"/>
      <c r="E1010" s="275"/>
    </row>
    <row r="1011" spans="1:5" ht="15">
      <c r="A1011" s="129"/>
      <c r="B1011" s="273"/>
      <c r="C1011" s="98"/>
      <c r="D1011" s="98"/>
      <c r="E1011" s="275"/>
    </row>
    <row r="1012" spans="1:5" ht="15">
      <c r="A1012" s="129"/>
      <c r="B1012" s="273"/>
      <c r="C1012" s="98"/>
      <c r="D1012" s="98"/>
      <c r="E1012" s="275"/>
    </row>
    <row r="1013" spans="1:5" ht="15">
      <c r="A1013" s="129"/>
      <c r="B1013" s="273"/>
      <c r="C1013" s="98"/>
      <c r="D1013" s="98"/>
      <c r="E1013" s="275"/>
    </row>
    <row r="1014" spans="1:5" ht="15">
      <c r="A1014" s="129"/>
      <c r="B1014" s="273"/>
      <c r="C1014" s="98"/>
      <c r="D1014" s="98"/>
      <c r="E1014" s="275"/>
    </row>
    <row r="1015" spans="1:5" ht="15">
      <c r="A1015" s="129"/>
      <c r="B1015" s="273"/>
      <c r="C1015" s="98"/>
      <c r="D1015" s="98"/>
      <c r="E1015" s="275"/>
    </row>
    <row r="1016" spans="1:5" ht="15">
      <c r="A1016" s="129"/>
      <c r="B1016" s="273"/>
      <c r="C1016" s="98"/>
      <c r="D1016" s="98"/>
      <c r="E1016" s="275"/>
    </row>
    <row r="1017" spans="1:5" ht="15">
      <c r="A1017" s="129"/>
      <c r="B1017" s="273"/>
      <c r="C1017" s="98"/>
      <c r="D1017" s="98"/>
      <c r="E1017" s="275"/>
    </row>
    <row r="1018" spans="1:5" ht="15">
      <c r="A1018" s="129"/>
      <c r="B1018" s="273"/>
      <c r="C1018" s="98"/>
      <c r="D1018" s="98"/>
      <c r="E1018" s="275"/>
    </row>
    <row r="1019" spans="1:5" ht="15">
      <c r="A1019" s="129"/>
      <c r="B1019" s="273"/>
      <c r="C1019" s="98"/>
      <c r="D1019" s="98"/>
      <c r="E1019" s="275"/>
    </row>
    <row r="1020" spans="1:5" ht="15">
      <c r="A1020" s="129"/>
      <c r="B1020" s="273"/>
      <c r="C1020" s="98"/>
      <c r="D1020" s="98"/>
      <c r="E1020" s="275"/>
    </row>
    <row r="1021" spans="1:5" ht="15">
      <c r="A1021" s="129"/>
      <c r="B1021" s="273"/>
      <c r="C1021" s="98"/>
      <c r="D1021" s="98"/>
      <c r="E1021" s="275"/>
    </row>
    <row r="1022" spans="1:5" ht="15">
      <c r="A1022" s="129"/>
      <c r="B1022" s="273"/>
      <c r="C1022" s="98"/>
      <c r="D1022" s="98"/>
      <c r="E1022" s="275"/>
    </row>
    <row r="1023" spans="1:5" ht="15">
      <c r="A1023" s="129"/>
      <c r="B1023" s="273"/>
      <c r="C1023" s="98"/>
      <c r="D1023" s="98"/>
      <c r="E1023" s="275"/>
    </row>
    <row r="1024" spans="1:5" ht="15">
      <c r="A1024" s="129"/>
      <c r="B1024" s="273"/>
      <c r="C1024" s="98"/>
      <c r="D1024" s="98"/>
      <c r="E1024" s="275"/>
    </row>
    <row r="1025" spans="1:5" ht="15">
      <c r="A1025" s="129"/>
      <c r="B1025" s="273"/>
      <c r="C1025" s="98"/>
      <c r="D1025" s="98"/>
      <c r="E1025" s="275"/>
    </row>
    <row r="1026" spans="1:5" ht="15">
      <c r="A1026" s="129"/>
      <c r="B1026" s="273"/>
      <c r="C1026" s="98"/>
      <c r="D1026" s="98"/>
      <c r="E1026" s="275"/>
    </row>
    <row r="1027" spans="1:5" ht="15">
      <c r="A1027" s="129"/>
      <c r="B1027" s="273"/>
      <c r="C1027" s="98"/>
      <c r="D1027" s="98"/>
      <c r="E1027" s="275"/>
    </row>
    <row r="1028" spans="1:5" ht="15">
      <c r="A1028" s="129"/>
      <c r="B1028" s="273"/>
      <c r="C1028" s="98"/>
      <c r="D1028" s="98"/>
      <c r="E1028" s="275"/>
    </row>
    <row r="1029" spans="1:5" ht="15">
      <c r="A1029" s="129"/>
      <c r="B1029" s="273"/>
      <c r="C1029" s="98"/>
      <c r="D1029" s="98"/>
      <c r="E1029" s="275"/>
    </row>
    <row r="1030" spans="1:5" ht="15">
      <c r="A1030" s="129"/>
      <c r="B1030" s="273"/>
      <c r="C1030" s="98"/>
      <c r="D1030" s="98"/>
      <c r="E1030" s="275"/>
    </row>
    <row r="1031" spans="1:5" ht="15">
      <c r="A1031" s="129"/>
      <c r="B1031" s="273"/>
      <c r="C1031" s="98"/>
      <c r="D1031" s="98"/>
      <c r="E1031" s="275"/>
    </row>
    <row r="1032" spans="1:5" ht="15">
      <c r="A1032" s="129"/>
      <c r="B1032" s="273"/>
      <c r="C1032" s="98"/>
      <c r="D1032" s="98"/>
      <c r="E1032" s="275"/>
    </row>
    <row r="1033" spans="1:5" ht="15">
      <c r="A1033" s="129"/>
      <c r="B1033" s="273"/>
      <c r="C1033" s="98"/>
      <c r="D1033" s="98"/>
      <c r="E1033" s="275"/>
    </row>
    <row r="1034" spans="1:5" ht="15">
      <c r="A1034" s="129"/>
      <c r="B1034" s="273"/>
      <c r="C1034" s="98"/>
      <c r="D1034" s="98"/>
      <c r="E1034" s="275"/>
    </row>
    <row r="1035" spans="1:5" ht="15">
      <c r="A1035" s="129"/>
      <c r="B1035" s="273"/>
      <c r="C1035" s="98"/>
      <c r="D1035" s="98"/>
      <c r="E1035" s="275"/>
    </row>
    <row r="1036" spans="1:5" ht="15">
      <c r="A1036" s="129"/>
      <c r="B1036" s="273"/>
      <c r="C1036" s="98"/>
      <c r="D1036" s="98"/>
      <c r="E1036" s="275"/>
    </row>
    <row r="1037" spans="1:5" ht="15">
      <c r="A1037" s="129"/>
      <c r="B1037" s="273"/>
      <c r="C1037" s="98"/>
      <c r="D1037" s="98"/>
      <c r="E1037" s="275"/>
    </row>
    <row r="1038" spans="1:5" ht="15">
      <c r="A1038" s="129"/>
      <c r="B1038" s="273"/>
      <c r="C1038" s="98"/>
      <c r="D1038" s="98"/>
      <c r="E1038" s="275"/>
    </row>
    <row r="1039" spans="1:5" ht="15">
      <c r="A1039" s="129"/>
      <c r="B1039" s="273"/>
      <c r="C1039" s="98"/>
      <c r="D1039" s="98"/>
      <c r="E1039" s="275"/>
    </row>
    <row r="1040" spans="1:5" ht="15">
      <c r="A1040" s="129"/>
      <c r="B1040" s="273"/>
      <c r="C1040" s="98"/>
      <c r="D1040" s="98"/>
      <c r="E1040" s="275"/>
    </row>
    <row r="1041" spans="1:5" ht="15">
      <c r="A1041" s="129"/>
      <c r="B1041" s="273"/>
      <c r="C1041" s="98"/>
      <c r="D1041" s="98"/>
      <c r="E1041" s="275"/>
    </row>
    <row r="1042" spans="1:5" ht="15">
      <c r="A1042" s="129"/>
      <c r="B1042" s="273"/>
      <c r="C1042" s="98"/>
      <c r="D1042" s="98"/>
      <c r="E1042" s="275"/>
    </row>
    <row r="1043" spans="1:5" ht="15">
      <c r="A1043" s="129"/>
      <c r="B1043" s="273"/>
      <c r="C1043" s="98"/>
      <c r="D1043" s="98"/>
      <c r="E1043" s="275"/>
    </row>
    <row r="1044" spans="1:5" ht="15">
      <c r="A1044" s="129"/>
      <c r="B1044" s="273"/>
      <c r="C1044" s="98"/>
      <c r="D1044" s="98"/>
      <c r="E1044" s="275"/>
    </row>
    <row r="1045" spans="1:5" ht="15">
      <c r="A1045" s="129"/>
      <c r="B1045" s="273"/>
      <c r="C1045" s="98"/>
      <c r="D1045" s="98"/>
      <c r="E1045" s="275"/>
    </row>
    <row r="1046" spans="1:5" ht="15">
      <c r="A1046" s="129"/>
      <c r="B1046" s="273"/>
      <c r="C1046" s="98"/>
      <c r="D1046" s="98"/>
      <c r="E1046" s="275"/>
    </row>
    <row r="1047" spans="1:5" ht="15">
      <c r="A1047" s="129"/>
      <c r="B1047" s="273"/>
      <c r="C1047" s="98"/>
      <c r="D1047" s="98"/>
      <c r="E1047" s="275"/>
    </row>
    <row r="1048" spans="1:5" ht="15">
      <c r="A1048" s="129"/>
      <c r="B1048" s="273"/>
      <c r="C1048" s="98"/>
      <c r="D1048" s="98"/>
      <c r="E1048" s="275"/>
    </row>
    <row r="1049" spans="1:5" ht="15">
      <c r="A1049" s="129"/>
      <c r="B1049" s="273"/>
      <c r="C1049" s="98"/>
      <c r="D1049" s="98"/>
      <c r="E1049" s="275"/>
    </row>
    <row r="1050" spans="1:5" ht="15">
      <c r="A1050" s="129"/>
      <c r="B1050" s="273"/>
      <c r="C1050" s="98"/>
      <c r="D1050" s="98"/>
      <c r="E1050" s="275"/>
    </row>
    <row r="1051" spans="1:5" ht="15">
      <c r="A1051" s="129"/>
      <c r="B1051" s="273"/>
      <c r="C1051" s="98"/>
      <c r="D1051" s="98"/>
      <c r="E1051" s="275"/>
    </row>
    <row r="1052" spans="1:5" ht="15">
      <c r="A1052" s="129"/>
      <c r="B1052" s="273"/>
      <c r="C1052" s="98"/>
      <c r="D1052" s="98"/>
      <c r="E1052" s="275"/>
    </row>
    <row r="1053" spans="1:5" ht="15">
      <c r="A1053" s="129"/>
      <c r="B1053" s="273"/>
      <c r="C1053" s="98"/>
      <c r="D1053" s="98"/>
      <c r="E1053" s="275"/>
    </row>
    <row r="1054" spans="1:5" ht="15">
      <c r="A1054" s="129"/>
      <c r="B1054" s="273"/>
      <c r="C1054" s="98"/>
      <c r="D1054" s="98"/>
      <c r="E1054" s="275"/>
    </row>
    <row r="1055" spans="1:5" ht="15">
      <c r="A1055" s="129"/>
      <c r="B1055" s="273"/>
      <c r="C1055" s="98"/>
      <c r="D1055" s="98"/>
      <c r="E1055" s="275"/>
    </row>
    <row r="1056" spans="1:5" ht="15">
      <c r="A1056" s="129"/>
      <c r="B1056" s="273"/>
      <c r="C1056" s="98"/>
      <c r="D1056" s="98"/>
      <c r="E1056" s="275"/>
    </row>
    <row r="1057" spans="1:5" ht="15">
      <c r="A1057" s="129"/>
      <c r="B1057" s="273"/>
      <c r="C1057" s="98"/>
      <c r="D1057" s="98"/>
      <c r="E1057" s="275"/>
    </row>
    <row r="1058" spans="1:5" ht="15">
      <c r="A1058" s="129"/>
      <c r="B1058" s="273"/>
      <c r="C1058" s="98"/>
      <c r="D1058" s="98"/>
      <c r="E1058" s="275"/>
    </row>
    <row r="1059" spans="1:5" ht="15">
      <c r="A1059" s="129"/>
      <c r="B1059" s="273"/>
      <c r="C1059" s="98"/>
      <c r="D1059" s="98"/>
      <c r="E1059" s="275"/>
    </row>
    <row r="1060" spans="1:5" ht="15">
      <c r="A1060" s="129"/>
      <c r="B1060" s="273"/>
      <c r="C1060" s="98"/>
      <c r="D1060" s="98"/>
      <c r="E1060" s="275"/>
    </row>
    <row r="1061" spans="1:5" ht="15">
      <c r="A1061" s="129"/>
      <c r="B1061" s="273"/>
      <c r="C1061" s="98"/>
      <c r="D1061" s="98"/>
      <c r="E1061" s="275"/>
    </row>
    <row r="1062" spans="1:5" ht="15">
      <c r="A1062" s="129"/>
      <c r="B1062" s="273"/>
      <c r="C1062" s="98"/>
      <c r="D1062" s="98"/>
      <c r="E1062" s="275"/>
    </row>
    <row r="1063" spans="1:5" ht="15">
      <c r="A1063" s="129"/>
      <c r="B1063" s="273"/>
      <c r="C1063" s="98"/>
      <c r="D1063" s="98"/>
      <c r="E1063" s="275"/>
    </row>
    <row r="1064" spans="1:5" ht="15">
      <c r="A1064" s="129"/>
      <c r="B1064" s="273"/>
      <c r="C1064" s="98"/>
      <c r="D1064" s="98"/>
      <c r="E1064" s="275"/>
    </row>
    <row r="1065" spans="1:5" ht="15">
      <c r="A1065" s="129"/>
      <c r="B1065" s="273"/>
      <c r="C1065" s="98"/>
      <c r="D1065" s="98"/>
      <c r="E1065" s="275"/>
    </row>
    <row r="1066" spans="1:5" ht="15">
      <c r="A1066" s="129"/>
      <c r="B1066" s="273"/>
      <c r="C1066" s="98"/>
      <c r="D1066" s="98"/>
      <c r="E1066" s="275"/>
    </row>
    <row r="1067" spans="1:5" ht="15">
      <c r="A1067" s="129"/>
      <c r="B1067" s="273"/>
      <c r="C1067" s="98"/>
      <c r="D1067" s="98"/>
      <c r="E1067" s="275"/>
    </row>
    <row r="1068" spans="1:5" ht="15">
      <c r="A1068" s="129"/>
      <c r="B1068" s="273"/>
      <c r="C1068" s="98"/>
      <c r="D1068" s="98"/>
      <c r="E1068" s="275"/>
    </row>
    <row r="1069" spans="1:5" ht="15">
      <c r="A1069" s="129"/>
      <c r="B1069" s="273"/>
      <c r="C1069" s="98"/>
      <c r="D1069" s="98"/>
      <c r="E1069" s="275"/>
    </row>
    <row r="1070" spans="1:5" ht="15">
      <c r="A1070" s="129"/>
      <c r="B1070" s="273"/>
      <c r="C1070" s="98"/>
      <c r="D1070" s="98"/>
      <c r="E1070" s="275"/>
    </row>
    <row r="1071" spans="1:5" ht="15">
      <c r="A1071" s="129"/>
      <c r="B1071" s="273"/>
      <c r="C1071" s="98"/>
      <c r="D1071" s="98"/>
      <c r="E1071" s="275"/>
    </row>
    <row r="1072" spans="1:5" ht="15">
      <c r="A1072" s="129"/>
      <c r="B1072" s="273"/>
      <c r="C1072" s="98"/>
      <c r="D1072" s="98"/>
      <c r="E1072" s="275"/>
    </row>
    <row r="1073" spans="1:5" ht="15">
      <c r="A1073" s="129"/>
      <c r="B1073" s="273"/>
      <c r="C1073" s="98"/>
      <c r="D1073" s="98"/>
      <c r="E1073" s="275"/>
    </row>
    <row r="1074" spans="1:5" ht="15">
      <c r="A1074" s="129"/>
      <c r="B1074" s="273"/>
      <c r="C1074" s="98"/>
      <c r="D1074" s="98"/>
      <c r="E1074" s="275"/>
    </row>
    <row r="1075" spans="1:5" ht="15">
      <c r="A1075" s="129"/>
      <c r="B1075" s="273"/>
      <c r="C1075" s="98"/>
      <c r="D1075" s="98"/>
      <c r="E1075" s="275"/>
    </row>
    <row r="1076" spans="1:5" ht="15">
      <c r="A1076" s="129"/>
      <c r="B1076" s="273"/>
      <c r="C1076" s="98"/>
      <c r="D1076" s="98"/>
      <c r="E1076" s="275"/>
    </row>
    <row r="1077" spans="1:5" ht="15">
      <c r="A1077" s="129"/>
      <c r="B1077" s="273"/>
      <c r="C1077" s="98"/>
      <c r="D1077" s="98"/>
      <c r="E1077" s="275"/>
    </row>
    <row r="1078" spans="1:5" ht="15">
      <c r="A1078" s="129"/>
      <c r="B1078" s="273"/>
      <c r="C1078" s="98"/>
      <c r="D1078" s="98"/>
      <c r="E1078" s="275"/>
    </row>
    <row r="1079" spans="1:5" ht="15">
      <c r="A1079" s="129"/>
      <c r="B1079" s="273"/>
      <c r="C1079" s="98"/>
      <c r="D1079" s="98"/>
      <c r="E1079" s="275"/>
    </row>
    <row r="1080" spans="1:5" ht="15">
      <c r="A1080" s="129"/>
      <c r="B1080" s="273"/>
      <c r="C1080" s="98"/>
      <c r="D1080" s="98"/>
      <c r="E1080" s="275"/>
    </row>
    <row r="1081" spans="1:5" ht="15">
      <c r="A1081" s="129"/>
      <c r="B1081" s="273"/>
      <c r="C1081" s="98"/>
      <c r="D1081" s="98"/>
      <c r="E1081" s="275"/>
    </row>
    <row r="1082" spans="1:5" ht="15">
      <c r="A1082" s="129"/>
      <c r="B1082" s="273"/>
      <c r="C1082" s="98"/>
      <c r="D1082" s="98"/>
      <c r="E1082" s="275"/>
    </row>
    <row r="1083" spans="1:5" ht="15">
      <c r="A1083" s="129"/>
      <c r="B1083" s="273"/>
      <c r="C1083" s="98"/>
      <c r="D1083" s="98"/>
      <c r="E1083" s="275"/>
    </row>
    <row r="1084" spans="1:5" ht="15">
      <c r="A1084" s="129"/>
      <c r="B1084" s="273"/>
      <c r="C1084" s="98"/>
      <c r="D1084" s="98"/>
      <c r="E1084" s="275"/>
    </row>
    <row r="1085" spans="1:5" ht="15">
      <c r="A1085" s="129"/>
      <c r="B1085" s="273"/>
      <c r="C1085" s="98"/>
      <c r="D1085" s="98"/>
      <c r="E1085" s="275"/>
    </row>
    <row r="1086" spans="1:5" ht="15">
      <c r="A1086" s="129"/>
      <c r="B1086" s="273"/>
      <c r="C1086" s="98"/>
      <c r="D1086" s="98"/>
      <c r="E1086" s="275"/>
    </row>
    <row r="1087" spans="1:5" ht="15">
      <c r="A1087" s="129"/>
      <c r="B1087" s="273"/>
      <c r="C1087" s="98"/>
      <c r="D1087" s="98"/>
      <c r="E1087" s="275"/>
    </row>
    <row r="1088" spans="1:5" ht="15">
      <c r="A1088" s="129"/>
      <c r="B1088" s="273"/>
      <c r="C1088" s="98"/>
      <c r="D1088" s="98"/>
      <c r="E1088" s="275"/>
    </row>
    <row r="1089" spans="1:5" ht="15">
      <c r="A1089" s="129"/>
      <c r="B1089" s="273"/>
      <c r="C1089" s="98"/>
      <c r="D1089" s="98"/>
      <c r="E1089" s="275"/>
    </row>
    <row r="1090" spans="1:5" ht="15">
      <c r="A1090" s="129"/>
      <c r="B1090" s="273"/>
      <c r="C1090" s="98"/>
      <c r="D1090" s="98"/>
      <c r="E1090" s="275"/>
    </row>
    <row r="1091" spans="1:5" ht="15">
      <c r="A1091" s="129"/>
      <c r="B1091" s="273"/>
      <c r="C1091" s="98"/>
      <c r="D1091" s="98"/>
      <c r="E1091" s="275"/>
    </row>
    <row r="1092" spans="1:5" ht="15">
      <c r="A1092" s="129"/>
      <c r="B1092" s="273"/>
      <c r="C1092" s="98"/>
      <c r="D1092" s="98"/>
      <c r="E1092" s="275"/>
    </row>
    <row r="1093" spans="1:5" ht="15">
      <c r="A1093" s="129"/>
      <c r="B1093" s="273"/>
      <c r="C1093" s="98"/>
      <c r="D1093" s="98"/>
      <c r="E1093" s="275"/>
    </row>
    <row r="1094" spans="1:5" ht="15">
      <c r="A1094" s="129"/>
      <c r="B1094" s="273"/>
      <c r="C1094" s="98"/>
      <c r="D1094" s="98"/>
      <c r="E1094" s="275"/>
    </row>
    <row r="1095" spans="1:5" ht="15">
      <c r="A1095" s="129"/>
      <c r="B1095" s="273"/>
      <c r="C1095" s="98"/>
      <c r="D1095" s="98"/>
      <c r="E1095" s="275"/>
    </row>
    <row r="1096" spans="1:5" ht="15">
      <c r="A1096" s="129"/>
      <c r="B1096" s="273"/>
      <c r="C1096" s="98"/>
      <c r="D1096" s="98"/>
      <c r="E1096" s="275"/>
    </row>
    <row r="1097" spans="1:5" ht="15">
      <c r="A1097" s="129"/>
      <c r="B1097" s="273"/>
      <c r="C1097" s="98"/>
      <c r="D1097" s="98"/>
      <c r="E1097" s="275"/>
    </row>
    <row r="1098" spans="1:5" ht="15">
      <c r="A1098" s="129"/>
      <c r="B1098" s="273"/>
      <c r="C1098" s="98"/>
      <c r="D1098" s="98"/>
      <c r="E1098" s="275"/>
    </row>
    <row r="1099" spans="1:5" ht="15">
      <c r="A1099" s="129"/>
      <c r="B1099" s="273"/>
      <c r="C1099" s="98"/>
      <c r="D1099" s="98"/>
      <c r="E1099" s="275"/>
    </row>
    <row r="1100" spans="1:5" ht="15">
      <c r="A1100" s="129"/>
      <c r="B1100" s="273"/>
      <c r="C1100" s="98"/>
      <c r="D1100" s="98"/>
      <c r="E1100" s="275"/>
    </row>
    <row r="1101" spans="1:5" ht="15">
      <c r="A1101" s="129"/>
      <c r="B1101" s="273"/>
      <c r="C1101" s="98"/>
      <c r="D1101" s="98"/>
      <c r="E1101" s="275"/>
    </row>
    <row r="1102" spans="1:5" ht="15">
      <c r="A1102" s="129"/>
      <c r="B1102" s="273"/>
      <c r="C1102" s="98"/>
      <c r="D1102" s="98"/>
      <c r="E1102" s="275"/>
    </row>
    <row r="1103" spans="1:5" ht="15">
      <c r="A1103" s="129"/>
      <c r="B1103" s="273"/>
      <c r="C1103" s="98"/>
      <c r="D1103" s="98"/>
      <c r="E1103" s="275"/>
    </row>
    <row r="1104" spans="1:5" ht="15">
      <c r="A1104" s="129"/>
      <c r="B1104" s="273"/>
      <c r="C1104" s="98"/>
      <c r="D1104" s="98"/>
      <c r="E1104" s="275"/>
    </row>
    <row r="1105" spans="1:5" ht="15">
      <c r="A1105" s="129"/>
      <c r="B1105" s="273"/>
      <c r="C1105" s="98"/>
      <c r="D1105" s="98"/>
      <c r="E1105" s="275"/>
    </row>
    <row r="1106" spans="1:5" ht="15">
      <c r="A1106" s="129"/>
      <c r="B1106" s="273"/>
      <c r="C1106" s="98"/>
      <c r="D1106" s="98"/>
      <c r="E1106" s="275"/>
    </row>
    <row r="1107" spans="1:5" ht="15">
      <c r="A1107" s="129"/>
      <c r="B1107" s="273"/>
      <c r="C1107" s="98"/>
      <c r="D1107" s="98"/>
      <c r="E1107" s="275"/>
    </row>
    <row r="1108" spans="1:5" ht="15">
      <c r="A1108" s="129"/>
      <c r="B1108" s="273"/>
      <c r="C1108" s="98"/>
      <c r="D1108" s="98"/>
      <c r="E1108" s="275"/>
    </row>
    <row r="1109" spans="1:5" ht="15">
      <c r="A1109" s="129"/>
      <c r="B1109" s="273"/>
      <c r="C1109" s="98"/>
      <c r="D1109" s="98"/>
      <c r="E1109" s="275"/>
    </row>
    <row r="1110" spans="1:5" ht="15">
      <c r="A1110" s="129"/>
      <c r="B1110" s="273"/>
      <c r="C1110" s="98"/>
      <c r="D1110" s="98"/>
      <c r="E1110" s="275"/>
    </row>
    <row r="1111" spans="1:5" ht="15">
      <c r="A1111" s="129"/>
      <c r="B1111" s="273"/>
      <c r="C1111" s="98"/>
      <c r="D1111" s="98"/>
      <c r="E1111" s="275"/>
    </row>
    <row r="1112" spans="1:5" ht="15">
      <c r="A1112" s="129"/>
      <c r="B1112" s="273"/>
      <c r="C1112" s="98"/>
      <c r="D1112" s="98"/>
      <c r="E1112" s="275"/>
    </row>
    <row r="1113" spans="1:5" ht="15">
      <c r="A1113" s="129"/>
      <c r="B1113" s="273"/>
      <c r="C1113" s="98"/>
      <c r="D1113" s="98"/>
      <c r="E1113" s="275"/>
    </row>
    <row r="1114" spans="1:5" ht="15">
      <c r="A1114" s="129"/>
      <c r="B1114" s="273"/>
      <c r="C1114" s="98"/>
      <c r="D1114" s="98"/>
      <c r="E1114" s="275"/>
    </row>
    <row r="1115" spans="1:5" ht="15">
      <c r="A1115" s="129"/>
      <c r="B1115" s="273"/>
      <c r="C1115" s="98"/>
      <c r="D1115" s="98"/>
      <c r="E1115" s="275"/>
    </row>
    <row r="1116" spans="1:5" ht="15">
      <c r="A1116" s="129"/>
      <c r="B1116" s="273"/>
      <c r="C1116" s="98"/>
      <c r="D1116" s="98"/>
      <c r="E1116" s="275"/>
    </row>
    <row r="1117" spans="1:5" ht="15">
      <c r="A1117" s="129"/>
      <c r="B1117" s="273"/>
      <c r="C1117" s="98"/>
      <c r="D1117" s="98"/>
      <c r="E1117" s="275"/>
    </row>
    <row r="1118" spans="1:5" ht="15">
      <c r="A1118" s="129"/>
      <c r="B1118" s="273"/>
      <c r="C1118" s="98"/>
      <c r="D1118" s="98"/>
      <c r="E1118" s="275"/>
    </row>
    <row r="1119" spans="1:5" ht="15">
      <c r="A1119" s="129"/>
      <c r="B1119" s="273"/>
      <c r="C1119" s="98"/>
      <c r="D1119" s="98"/>
      <c r="E1119" s="275"/>
    </row>
    <row r="1120" spans="1:5" ht="15">
      <c r="A1120" s="129"/>
      <c r="B1120" s="273"/>
      <c r="C1120" s="98"/>
      <c r="D1120" s="98"/>
      <c r="E1120" s="275"/>
    </row>
    <row r="1121" spans="1:5" ht="15">
      <c r="A1121" s="129"/>
      <c r="B1121" s="273"/>
      <c r="C1121" s="98"/>
      <c r="D1121" s="98"/>
      <c r="E1121" s="275"/>
    </row>
    <row r="1122" spans="1:5" ht="15">
      <c r="A1122" s="129"/>
      <c r="B1122" s="273"/>
      <c r="C1122" s="98"/>
      <c r="D1122" s="98"/>
      <c r="E1122" s="275"/>
    </row>
    <row r="1123" spans="1:5" ht="15">
      <c r="A1123" s="129"/>
      <c r="B1123" s="273"/>
      <c r="C1123" s="98"/>
      <c r="D1123" s="98"/>
      <c r="E1123" s="275"/>
    </row>
    <row r="1124" spans="1:5" ht="15">
      <c r="A1124" s="129"/>
      <c r="B1124" s="273"/>
      <c r="C1124" s="98"/>
      <c r="D1124" s="98"/>
      <c r="E1124" s="275"/>
    </row>
    <row r="1125" spans="1:5" ht="15">
      <c r="A1125" s="129"/>
      <c r="B1125" s="273"/>
      <c r="C1125" s="98"/>
      <c r="D1125" s="98"/>
      <c r="E1125" s="275"/>
    </row>
    <row r="1126" spans="1:5" ht="15">
      <c r="A1126" s="129"/>
      <c r="B1126" s="273"/>
      <c r="C1126" s="98"/>
      <c r="D1126" s="98"/>
      <c r="E1126" s="275"/>
    </row>
    <row r="1127" spans="1:5" ht="15">
      <c r="A1127" s="129"/>
      <c r="B1127" s="273"/>
      <c r="C1127" s="98"/>
      <c r="D1127" s="98"/>
      <c r="E1127" s="275"/>
    </row>
    <row r="1128" spans="1:5" ht="15">
      <c r="A1128" s="129"/>
      <c r="B1128" s="273"/>
      <c r="C1128" s="98"/>
      <c r="D1128" s="98"/>
      <c r="E1128" s="275"/>
    </row>
    <row r="1129" spans="1:5" ht="15">
      <c r="A1129" s="129"/>
      <c r="B1129" s="273"/>
      <c r="C1129" s="98"/>
      <c r="D1129" s="98"/>
      <c r="E1129" s="275"/>
    </row>
    <row r="1130" spans="1:5" ht="15">
      <c r="A1130" s="129"/>
      <c r="B1130" s="273"/>
      <c r="C1130" s="98"/>
      <c r="D1130" s="98"/>
      <c r="E1130" s="275"/>
    </row>
    <row r="1131" spans="1:5" ht="15">
      <c r="A1131" s="129"/>
      <c r="B1131" s="273"/>
      <c r="C1131" s="98"/>
      <c r="D1131" s="98"/>
      <c r="E1131" s="275"/>
    </row>
    <row r="1132" spans="1:5" ht="15">
      <c r="A1132" s="129"/>
      <c r="B1132" s="273"/>
      <c r="C1132" s="98"/>
      <c r="D1132" s="98"/>
      <c r="E1132" s="275"/>
    </row>
    <row r="1133" spans="1:5" ht="15">
      <c r="A1133" s="129"/>
      <c r="B1133" s="273"/>
      <c r="C1133" s="98"/>
      <c r="D1133" s="98"/>
      <c r="E1133" s="275"/>
    </row>
    <row r="1134" spans="1:5" ht="15">
      <c r="A1134" s="129"/>
      <c r="B1134" s="273"/>
      <c r="C1134" s="98"/>
      <c r="D1134" s="98"/>
      <c r="E1134" s="275"/>
    </row>
    <row r="1135" spans="1:5" ht="15">
      <c r="A1135" s="129"/>
      <c r="B1135" s="273"/>
      <c r="C1135" s="98"/>
      <c r="D1135" s="98"/>
      <c r="E1135" s="275"/>
    </row>
    <row r="1136" spans="1:5" ht="15">
      <c r="A1136" s="129"/>
      <c r="B1136" s="273"/>
      <c r="C1136" s="98"/>
      <c r="D1136" s="98"/>
      <c r="E1136" s="275"/>
    </row>
    <row r="1137" spans="1:5" ht="15">
      <c r="A1137" s="129"/>
      <c r="B1137" s="273"/>
      <c r="C1137" s="98"/>
      <c r="D1137" s="98"/>
      <c r="E1137" s="275"/>
    </row>
    <row r="1138" spans="1:5" ht="15">
      <c r="A1138" s="129"/>
      <c r="B1138" s="273"/>
      <c r="C1138" s="98"/>
      <c r="D1138" s="98"/>
      <c r="E1138" s="275"/>
    </row>
    <row r="1139" spans="1:5" ht="15">
      <c r="A1139" s="129"/>
      <c r="B1139" s="273"/>
      <c r="C1139" s="98"/>
      <c r="D1139" s="98"/>
      <c r="E1139" s="275"/>
    </row>
    <row r="1140" spans="1:5" ht="15">
      <c r="A1140" s="129"/>
      <c r="B1140" s="273"/>
      <c r="C1140" s="98"/>
      <c r="D1140" s="98"/>
      <c r="E1140" s="275"/>
    </row>
    <row r="1141" spans="1:5" ht="15">
      <c r="A1141" s="129"/>
      <c r="B1141" s="273"/>
      <c r="C1141" s="98"/>
      <c r="D1141" s="98"/>
      <c r="E1141" s="275"/>
    </row>
    <row r="1142" spans="1:5" ht="15">
      <c r="A1142" s="129"/>
      <c r="B1142" s="273"/>
      <c r="C1142" s="98"/>
      <c r="D1142" s="98"/>
      <c r="E1142" s="275"/>
    </row>
    <row r="1143" spans="1:5" ht="15">
      <c r="A1143" s="129"/>
      <c r="B1143" s="273"/>
      <c r="C1143" s="98"/>
      <c r="D1143" s="98"/>
      <c r="E1143" s="275"/>
    </row>
    <row r="1144" spans="1:5" ht="15">
      <c r="A1144" s="129"/>
      <c r="B1144" s="273"/>
      <c r="C1144" s="98"/>
      <c r="D1144" s="98"/>
      <c r="E1144" s="275"/>
    </row>
    <row r="1145" spans="1:5" ht="15">
      <c r="A1145" s="129"/>
      <c r="B1145" s="273"/>
      <c r="C1145" s="98"/>
      <c r="D1145" s="98"/>
      <c r="E1145" s="275"/>
    </row>
    <row r="1146" spans="1:5" ht="15">
      <c r="A1146" s="129"/>
      <c r="B1146" s="273"/>
      <c r="C1146" s="98"/>
      <c r="D1146" s="98"/>
      <c r="E1146" s="275"/>
    </row>
    <row r="1147" spans="1:5" ht="15">
      <c r="A1147" s="129"/>
      <c r="B1147" s="273"/>
      <c r="C1147" s="98"/>
      <c r="D1147" s="98"/>
      <c r="E1147" s="275"/>
    </row>
    <row r="1148" spans="1:5" ht="15">
      <c r="A1148" s="129"/>
      <c r="B1148" s="273"/>
      <c r="C1148" s="98"/>
      <c r="D1148" s="98"/>
      <c r="E1148" s="275"/>
    </row>
    <row r="1149" spans="1:5" ht="15">
      <c r="A1149" s="129"/>
      <c r="B1149" s="273"/>
      <c r="C1149" s="98"/>
      <c r="D1149" s="98"/>
      <c r="E1149" s="275"/>
    </row>
    <row r="1150" spans="1:5" ht="15">
      <c r="A1150" s="129"/>
      <c r="B1150" s="273"/>
      <c r="C1150" s="98"/>
      <c r="D1150" s="98"/>
      <c r="E1150" s="275"/>
    </row>
    <row r="1151" spans="1:5" ht="15">
      <c r="A1151" s="129"/>
      <c r="B1151" s="273"/>
      <c r="C1151" s="98"/>
      <c r="D1151" s="98"/>
      <c r="E1151" s="275"/>
    </row>
    <row r="1152" spans="1:5" ht="15">
      <c r="A1152" s="129"/>
      <c r="B1152" s="273"/>
      <c r="C1152" s="98"/>
      <c r="D1152" s="98"/>
      <c r="E1152" s="275"/>
    </row>
    <row r="1153" spans="1:5" ht="15">
      <c r="A1153" s="129"/>
      <c r="B1153" s="273"/>
      <c r="C1153" s="98"/>
      <c r="D1153" s="98"/>
      <c r="E1153" s="275"/>
    </row>
    <row r="1154" spans="1:5" ht="15">
      <c r="A1154" s="129"/>
      <c r="B1154" s="273"/>
      <c r="C1154" s="98"/>
      <c r="D1154" s="98"/>
      <c r="E1154" s="275"/>
    </row>
    <row r="1155" spans="1:5" ht="15">
      <c r="A1155" s="129"/>
      <c r="B1155" s="273"/>
      <c r="C1155" s="98"/>
      <c r="D1155" s="98"/>
      <c r="E1155" s="275"/>
    </row>
    <row r="1156" spans="1:5" ht="15">
      <c r="A1156" s="129"/>
      <c r="B1156" s="273"/>
      <c r="C1156" s="98"/>
      <c r="D1156" s="98"/>
      <c r="E1156" s="275"/>
    </row>
    <row r="1157" spans="1:5" ht="15">
      <c r="A1157" s="129"/>
      <c r="B1157" s="273"/>
      <c r="C1157" s="98"/>
      <c r="D1157" s="98"/>
      <c r="E1157" s="275"/>
    </row>
    <row r="1158" spans="1:5" ht="15">
      <c r="A1158" s="129"/>
      <c r="B1158" s="273"/>
      <c r="C1158" s="98"/>
      <c r="D1158" s="98"/>
      <c r="E1158" s="275"/>
    </row>
    <row r="1159" spans="1:5" ht="15">
      <c r="A1159" s="129"/>
      <c r="B1159" s="273"/>
      <c r="C1159" s="98"/>
      <c r="D1159" s="98"/>
      <c r="E1159" s="275"/>
    </row>
    <row r="1160" spans="1:5" ht="15">
      <c r="A1160" s="129"/>
      <c r="B1160" s="273"/>
      <c r="C1160" s="98"/>
      <c r="D1160" s="98"/>
      <c r="E1160" s="275"/>
    </row>
    <row r="1161" spans="1:5" ht="15">
      <c r="A1161" s="129"/>
      <c r="B1161" s="273"/>
      <c r="C1161" s="98"/>
      <c r="D1161" s="98"/>
      <c r="E1161" s="275"/>
    </row>
    <row r="1162" spans="1:5" ht="15">
      <c r="A1162" s="129"/>
      <c r="B1162" s="273"/>
      <c r="C1162" s="98"/>
      <c r="D1162" s="98"/>
      <c r="E1162" s="275"/>
    </row>
    <row r="1163" spans="1:5" ht="15">
      <c r="A1163" s="129"/>
      <c r="B1163" s="273"/>
      <c r="C1163" s="98"/>
      <c r="D1163" s="98"/>
      <c r="E1163" s="275"/>
    </row>
    <row r="1164" spans="1:5" ht="15">
      <c r="A1164" s="129"/>
      <c r="B1164" s="273"/>
      <c r="C1164" s="98"/>
      <c r="D1164" s="98"/>
      <c r="E1164" s="275"/>
    </row>
    <row r="1165" spans="1:5" ht="15">
      <c r="A1165" s="129"/>
      <c r="B1165" s="273"/>
      <c r="C1165" s="98"/>
      <c r="D1165" s="98"/>
      <c r="E1165" s="275"/>
    </row>
    <row r="1166" spans="1:5" ht="15">
      <c r="A1166" s="129"/>
      <c r="B1166" s="273"/>
      <c r="C1166" s="98"/>
      <c r="D1166" s="98"/>
      <c r="E1166" s="275"/>
    </row>
    <row r="1167" spans="1:5" ht="15">
      <c r="A1167" s="129"/>
      <c r="B1167" s="273"/>
      <c r="C1167" s="98"/>
      <c r="D1167" s="98"/>
      <c r="E1167" s="275"/>
    </row>
    <row r="1168" spans="1:5" ht="15">
      <c r="A1168" s="129"/>
      <c r="B1168" s="273"/>
      <c r="C1168" s="98"/>
      <c r="D1168" s="98"/>
      <c r="E1168" s="275"/>
    </row>
    <row r="1169" spans="1:5" ht="15">
      <c r="A1169" s="129"/>
      <c r="B1169" s="273"/>
      <c r="C1169" s="98"/>
      <c r="D1169" s="98"/>
      <c r="E1169" s="275"/>
    </row>
    <row r="1170" spans="1:5" ht="15">
      <c r="A1170" s="129"/>
      <c r="B1170" s="273"/>
      <c r="C1170" s="98"/>
      <c r="D1170" s="98"/>
      <c r="E1170" s="275"/>
    </row>
    <row r="1171" spans="1:5" ht="15">
      <c r="A1171" s="129"/>
      <c r="B1171" s="273"/>
      <c r="C1171" s="98"/>
      <c r="D1171" s="98"/>
      <c r="E1171" s="275"/>
    </row>
    <row r="1172" spans="1:5" ht="15">
      <c r="A1172" s="129"/>
      <c r="B1172" s="273"/>
      <c r="C1172" s="98"/>
      <c r="D1172" s="98"/>
      <c r="E1172" s="275"/>
    </row>
    <row r="1173" spans="1:5" ht="15">
      <c r="A1173" s="129"/>
      <c r="B1173" s="273"/>
      <c r="C1173" s="98"/>
      <c r="D1173" s="98"/>
      <c r="E1173" s="275"/>
    </row>
    <row r="1174" spans="1:5" ht="15">
      <c r="A1174" s="129"/>
      <c r="B1174" s="273"/>
      <c r="C1174" s="98"/>
      <c r="D1174" s="98"/>
      <c r="E1174" s="275"/>
    </row>
    <row r="1175" spans="1:5" ht="15">
      <c r="A1175" s="129"/>
      <c r="B1175" s="273"/>
      <c r="C1175" s="98"/>
      <c r="D1175" s="98"/>
      <c r="E1175" s="275"/>
    </row>
    <row r="1176" spans="1:5" ht="15">
      <c r="A1176" s="129"/>
      <c r="B1176" s="273"/>
      <c r="C1176" s="98"/>
      <c r="D1176" s="98"/>
      <c r="E1176" s="275"/>
    </row>
    <row r="1177" spans="1:5" ht="15">
      <c r="A1177" s="129"/>
      <c r="B1177" s="273"/>
      <c r="C1177" s="98"/>
      <c r="D1177" s="98"/>
      <c r="E1177" s="275"/>
    </row>
    <row r="1178" spans="1:5" ht="15">
      <c r="A1178" s="129"/>
      <c r="B1178" s="273"/>
      <c r="C1178" s="98"/>
      <c r="D1178" s="98"/>
      <c r="E1178" s="275"/>
    </row>
    <row r="1179" spans="1:5" ht="15">
      <c r="A1179" s="129"/>
      <c r="B1179" s="273"/>
      <c r="C1179" s="98"/>
      <c r="D1179" s="98"/>
      <c r="E1179" s="275"/>
    </row>
    <row r="1180" spans="1:5" ht="15">
      <c r="A1180" s="129"/>
      <c r="B1180" s="273"/>
      <c r="C1180" s="98"/>
      <c r="D1180" s="98"/>
      <c r="E1180" s="275"/>
    </row>
    <row r="1181" spans="1:5" ht="15">
      <c r="A1181" s="129"/>
      <c r="B1181" s="273"/>
      <c r="C1181" s="98"/>
      <c r="D1181" s="98"/>
      <c r="E1181" s="275"/>
    </row>
    <row r="1182" spans="1:5" ht="15">
      <c r="A1182" s="129"/>
      <c r="B1182" s="273"/>
      <c r="C1182" s="98"/>
      <c r="D1182" s="98"/>
      <c r="E1182" s="275"/>
    </row>
    <row r="1183" spans="1:5" ht="15">
      <c r="A1183" s="129"/>
      <c r="B1183" s="273"/>
      <c r="C1183" s="98"/>
      <c r="D1183" s="98"/>
      <c r="E1183" s="275"/>
    </row>
    <row r="1184" spans="1:5" ht="15">
      <c r="A1184" s="129"/>
      <c r="B1184" s="273"/>
      <c r="C1184" s="98"/>
      <c r="D1184" s="98"/>
      <c r="E1184" s="275"/>
    </row>
    <row r="1185" spans="1:5" ht="15">
      <c r="A1185" s="129"/>
      <c r="B1185" s="273"/>
      <c r="C1185" s="98"/>
      <c r="D1185" s="98"/>
      <c r="E1185" s="275"/>
    </row>
    <row r="1186" spans="1:5" ht="15">
      <c r="A1186" s="129"/>
      <c r="B1186" s="273"/>
      <c r="C1186" s="98"/>
      <c r="D1186" s="98"/>
      <c r="E1186" s="275"/>
    </row>
    <row r="1187" spans="1:5" ht="15">
      <c r="A1187" s="129"/>
      <c r="B1187" s="273"/>
      <c r="C1187" s="98"/>
      <c r="D1187" s="98"/>
      <c r="E1187" s="275"/>
    </row>
    <row r="1188" spans="1:5" ht="15">
      <c r="A1188" s="129"/>
      <c r="B1188" s="273"/>
      <c r="C1188" s="98"/>
      <c r="D1188" s="98"/>
      <c r="E1188" s="275"/>
    </row>
    <row r="1189" spans="1:5" ht="15">
      <c r="A1189" s="129"/>
      <c r="B1189" s="273"/>
      <c r="C1189" s="98"/>
      <c r="D1189" s="98"/>
      <c r="E1189" s="275"/>
    </row>
    <row r="1190" spans="1:5" ht="15">
      <c r="A1190" s="129"/>
      <c r="B1190" s="273"/>
      <c r="C1190" s="98"/>
      <c r="D1190" s="98"/>
      <c r="E1190" s="275"/>
    </row>
    <row r="1191" spans="1:5" ht="15">
      <c r="A1191" s="129"/>
      <c r="B1191" s="273"/>
      <c r="C1191" s="98"/>
      <c r="D1191" s="98"/>
      <c r="E1191" s="275"/>
    </row>
    <row r="1192" spans="1:5" ht="15">
      <c r="A1192" s="129"/>
      <c r="B1192" s="273"/>
      <c r="C1192" s="98"/>
      <c r="D1192" s="98"/>
      <c r="E1192" s="275"/>
    </row>
    <row r="1193" spans="1:5" ht="15">
      <c r="A1193" s="129"/>
      <c r="B1193" s="273"/>
      <c r="C1193" s="98"/>
      <c r="D1193" s="98"/>
      <c r="E1193" s="275"/>
    </row>
    <row r="1194" spans="1:5" ht="15">
      <c r="A1194" s="129"/>
      <c r="B1194" s="273"/>
      <c r="C1194" s="98"/>
      <c r="D1194" s="98"/>
      <c r="E1194" s="275"/>
    </row>
    <row r="1195" spans="1:5" ht="15">
      <c r="A1195" s="129"/>
      <c r="B1195" s="273"/>
      <c r="C1195" s="98"/>
      <c r="D1195" s="98"/>
      <c r="E1195" s="275"/>
    </row>
    <row r="1196" spans="1:5" ht="15">
      <c r="A1196" s="129"/>
      <c r="B1196" s="273"/>
      <c r="C1196" s="98"/>
      <c r="D1196" s="98"/>
      <c r="E1196" s="275"/>
    </row>
    <row r="1197" spans="1:5" ht="15">
      <c r="A1197" s="129"/>
      <c r="B1197" s="273"/>
      <c r="C1197" s="98"/>
      <c r="D1197" s="98"/>
      <c r="E1197" s="275"/>
    </row>
    <row r="1198" spans="1:5" ht="15">
      <c r="A1198" s="129"/>
      <c r="B1198" s="273"/>
      <c r="C1198" s="98"/>
      <c r="D1198" s="98"/>
      <c r="E1198" s="275"/>
    </row>
    <row r="1199" spans="1:5" ht="15">
      <c r="A1199" s="129"/>
      <c r="B1199" s="273"/>
      <c r="C1199" s="98"/>
      <c r="D1199" s="98"/>
      <c r="E1199" s="275"/>
    </row>
    <row r="1200" spans="1:5" ht="15">
      <c r="A1200" s="129"/>
      <c r="B1200" s="273"/>
      <c r="C1200" s="98"/>
      <c r="D1200" s="98"/>
      <c r="E1200" s="275"/>
    </row>
    <row r="1201" spans="1:5" ht="15">
      <c r="A1201" s="129"/>
      <c r="B1201" s="273"/>
      <c r="C1201" s="98"/>
      <c r="D1201" s="98"/>
      <c r="E1201" s="275"/>
    </row>
    <row r="1202" spans="1:5" ht="15">
      <c r="A1202" s="129"/>
      <c r="B1202" s="273"/>
      <c r="C1202" s="98"/>
      <c r="D1202" s="98"/>
      <c r="E1202" s="275"/>
    </row>
    <row r="1203" spans="1:5" ht="15">
      <c r="A1203" s="129"/>
      <c r="B1203" s="273"/>
      <c r="C1203" s="98"/>
      <c r="D1203" s="98"/>
      <c r="E1203" s="275"/>
    </row>
    <row r="1204" spans="1:5" ht="15">
      <c r="A1204" s="129"/>
      <c r="B1204" s="273"/>
      <c r="C1204" s="98"/>
      <c r="D1204" s="98"/>
      <c r="E1204" s="275"/>
    </row>
    <row r="1205" spans="1:5" ht="15">
      <c r="A1205" s="129"/>
      <c r="B1205" s="273"/>
      <c r="C1205" s="98"/>
      <c r="D1205" s="98"/>
      <c r="E1205" s="275"/>
    </row>
    <row r="1206" spans="1:5" ht="15">
      <c r="A1206" s="129"/>
      <c r="B1206" s="273"/>
      <c r="C1206" s="98"/>
      <c r="D1206" s="98"/>
      <c r="E1206" s="275"/>
    </row>
    <row r="1207" spans="1:5" ht="15">
      <c r="A1207" s="129"/>
      <c r="B1207" s="273"/>
      <c r="C1207" s="98"/>
      <c r="D1207" s="98"/>
      <c r="E1207" s="275"/>
    </row>
    <row r="1208" spans="1:5" ht="15">
      <c r="A1208" s="129"/>
      <c r="B1208" s="273"/>
      <c r="C1208" s="98"/>
      <c r="D1208" s="98"/>
      <c r="E1208" s="275"/>
    </row>
    <row r="1209" spans="1:5" ht="15">
      <c r="A1209" s="129"/>
      <c r="B1209" s="273"/>
      <c r="C1209" s="98"/>
      <c r="D1209" s="98"/>
      <c r="E1209" s="275"/>
    </row>
    <row r="1210" spans="1:5" ht="15">
      <c r="A1210" s="129"/>
      <c r="B1210" s="273"/>
      <c r="C1210" s="98"/>
      <c r="D1210" s="98"/>
      <c r="E1210" s="275"/>
    </row>
    <row r="1211" spans="1:5" ht="15">
      <c r="A1211" s="129"/>
      <c r="B1211" s="273"/>
      <c r="C1211" s="98"/>
      <c r="D1211" s="98"/>
      <c r="E1211" s="275"/>
    </row>
    <row r="1212" spans="1:5" ht="15">
      <c r="A1212" s="129"/>
      <c r="B1212" s="273"/>
      <c r="C1212" s="98"/>
      <c r="D1212" s="98"/>
      <c r="E1212" s="275"/>
    </row>
    <row r="1213" spans="1:5" ht="15">
      <c r="A1213" s="129"/>
      <c r="B1213" s="273"/>
      <c r="C1213" s="98"/>
      <c r="D1213" s="98"/>
      <c r="E1213" s="275"/>
    </row>
    <row r="1214" spans="1:5" ht="15">
      <c r="A1214" s="129"/>
      <c r="B1214" s="273"/>
      <c r="C1214" s="98"/>
      <c r="D1214" s="98"/>
      <c r="E1214" s="275"/>
    </row>
    <row r="1215" spans="1:5" ht="15">
      <c r="A1215" s="129"/>
      <c r="B1215" s="273"/>
      <c r="C1215" s="98"/>
      <c r="D1215" s="98"/>
      <c r="E1215" s="275"/>
    </row>
    <row r="1216" spans="1:5" ht="15">
      <c r="A1216" s="129"/>
      <c r="B1216" s="273"/>
      <c r="C1216" s="98"/>
      <c r="D1216" s="98"/>
      <c r="E1216" s="275"/>
    </row>
    <row r="1217" spans="1:5" ht="15">
      <c r="A1217" s="129"/>
      <c r="B1217" s="273"/>
      <c r="C1217" s="98"/>
      <c r="D1217" s="98"/>
      <c r="E1217" s="275"/>
    </row>
    <row r="1218" spans="1:5" ht="15">
      <c r="A1218" s="129"/>
      <c r="B1218" s="273"/>
      <c r="C1218" s="98"/>
      <c r="D1218" s="98"/>
      <c r="E1218" s="275"/>
    </row>
    <row r="1219" spans="1:5" ht="15">
      <c r="A1219" s="129"/>
      <c r="B1219" s="273"/>
      <c r="C1219" s="98"/>
      <c r="D1219" s="98"/>
      <c r="E1219" s="275"/>
    </row>
    <row r="1220" spans="1:5" ht="15">
      <c r="A1220" s="129"/>
      <c r="B1220" s="273"/>
      <c r="C1220" s="98"/>
      <c r="D1220" s="98"/>
      <c r="E1220" s="275"/>
    </row>
    <row r="1221" spans="1:5" ht="15">
      <c r="A1221" s="129"/>
      <c r="B1221" s="273"/>
      <c r="C1221" s="98"/>
      <c r="D1221" s="98"/>
      <c r="E1221" s="275"/>
    </row>
    <row r="1222" spans="1:5" ht="15">
      <c r="A1222" s="129"/>
      <c r="B1222" s="273"/>
      <c r="C1222" s="98"/>
      <c r="D1222" s="98"/>
      <c r="E1222" s="275"/>
    </row>
    <row r="1223" spans="1:5" ht="15">
      <c r="A1223" s="129"/>
      <c r="B1223" s="273"/>
      <c r="C1223" s="98"/>
      <c r="D1223" s="98"/>
      <c r="E1223" s="275"/>
    </row>
    <row r="1224" spans="1:5" ht="15">
      <c r="A1224" s="129"/>
      <c r="B1224" s="273"/>
      <c r="C1224" s="98"/>
      <c r="D1224" s="98"/>
      <c r="E1224" s="275"/>
    </row>
    <row r="1225" spans="1:5" ht="15">
      <c r="A1225" s="129"/>
      <c r="B1225" s="273"/>
      <c r="C1225" s="98"/>
      <c r="D1225" s="98"/>
      <c r="E1225" s="275"/>
    </row>
    <row r="1226" spans="1:5" ht="15">
      <c r="A1226" s="129"/>
      <c r="B1226" s="273"/>
      <c r="C1226" s="98"/>
      <c r="D1226" s="98"/>
      <c r="E1226" s="275"/>
    </row>
    <row r="1227" spans="1:5" ht="15">
      <c r="A1227" s="129"/>
      <c r="B1227" s="273"/>
      <c r="C1227" s="98"/>
      <c r="D1227" s="98"/>
      <c r="E1227" s="275"/>
    </row>
    <row r="1228" spans="1:5" ht="15">
      <c r="A1228" s="129"/>
      <c r="B1228" s="273"/>
      <c r="C1228" s="98"/>
      <c r="D1228" s="98"/>
      <c r="E1228" s="275"/>
    </row>
    <row r="1229" spans="1:5" ht="15">
      <c r="A1229" s="129"/>
      <c r="B1229" s="273"/>
      <c r="C1229" s="98"/>
      <c r="D1229" s="98"/>
      <c r="E1229" s="275"/>
    </row>
    <row r="1230" spans="1:5" ht="15">
      <c r="A1230" s="129"/>
      <c r="B1230" s="273"/>
      <c r="C1230" s="98"/>
      <c r="D1230" s="98"/>
      <c r="E1230" s="275"/>
    </row>
    <row r="1231" spans="1:5" ht="15">
      <c r="A1231" s="129"/>
      <c r="B1231" s="273"/>
      <c r="C1231" s="98"/>
      <c r="D1231" s="98"/>
      <c r="E1231" s="275"/>
    </row>
    <row r="1232" spans="1:5" ht="15">
      <c r="A1232" s="129"/>
      <c r="B1232" s="273"/>
      <c r="C1232" s="98"/>
      <c r="D1232" s="98"/>
      <c r="E1232" s="275"/>
    </row>
    <row r="1233" spans="1:5" ht="15">
      <c r="A1233" s="129"/>
      <c r="B1233" s="273"/>
      <c r="C1233" s="98"/>
      <c r="D1233" s="98"/>
      <c r="E1233" s="275"/>
    </row>
    <row r="1234" spans="1:5" ht="15">
      <c r="A1234" s="129"/>
      <c r="B1234" s="273"/>
      <c r="C1234" s="98"/>
      <c r="D1234" s="98"/>
      <c r="E1234" s="275"/>
    </row>
    <row r="1235" spans="1:5" ht="15">
      <c r="A1235" s="129"/>
      <c r="B1235" s="273"/>
      <c r="C1235" s="98"/>
      <c r="D1235" s="98"/>
      <c r="E1235" s="275"/>
    </row>
    <row r="1236" spans="1:5" ht="15">
      <c r="A1236" s="129"/>
      <c r="B1236" s="273"/>
      <c r="C1236" s="98"/>
      <c r="D1236" s="98"/>
      <c r="E1236" s="275"/>
    </row>
    <row r="1237" spans="1:5" ht="15">
      <c r="A1237" s="129"/>
      <c r="B1237" s="273"/>
      <c r="C1237" s="98"/>
      <c r="D1237" s="98"/>
      <c r="E1237" s="275"/>
    </row>
    <row r="1238" spans="1:5" ht="15">
      <c r="A1238" s="129"/>
      <c r="B1238" s="273"/>
      <c r="C1238" s="98"/>
      <c r="D1238" s="98"/>
      <c r="E1238" s="275"/>
    </row>
    <row r="1239" spans="1:5" ht="15">
      <c r="A1239" s="129"/>
      <c r="B1239" s="273"/>
      <c r="C1239" s="98"/>
      <c r="D1239" s="98"/>
      <c r="E1239" s="275"/>
    </row>
    <row r="1240" spans="1:5" ht="15">
      <c r="A1240" s="129"/>
      <c r="B1240" s="273"/>
      <c r="C1240" s="98"/>
      <c r="D1240" s="98"/>
      <c r="E1240" s="275"/>
    </row>
    <row r="1241" spans="1:5" ht="15">
      <c r="A1241" s="129"/>
      <c r="B1241" s="273"/>
      <c r="C1241" s="98"/>
      <c r="D1241" s="98"/>
      <c r="E1241" s="275"/>
    </row>
    <row r="1242" spans="1:5" ht="15">
      <c r="A1242" s="129"/>
      <c r="B1242" s="273"/>
      <c r="C1242" s="98"/>
      <c r="D1242" s="98"/>
      <c r="E1242" s="275"/>
    </row>
    <row r="1243" spans="1:5" ht="15">
      <c r="A1243" s="129"/>
      <c r="B1243" s="273"/>
      <c r="C1243" s="98"/>
      <c r="D1243" s="98"/>
      <c r="E1243" s="275"/>
    </row>
    <row r="1244" spans="1:5" ht="15">
      <c r="A1244" s="129"/>
      <c r="B1244" s="273"/>
      <c r="C1244" s="98"/>
      <c r="D1244" s="98"/>
      <c r="E1244" s="275"/>
    </row>
    <row r="1245" spans="1:5" ht="15">
      <c r="A1245" s="129"/>
      <c r="B1245" s="273"/>
      <c r="C1245" s="98"/>
      <c r="D1245" s="98"/>
      <c r="E1245" s="275"/>
    </row>
    <row r="1246" spans="1:5" ht="15">
      <c r="A1246" s="129"/>
      <c r="B1246" s="273"/>
      <c r="C1246" s="98"/>
      <c r="D1246" s="98"/>
      <c r="E1246" s="275"/>
    </row>
    <row r="1247" spans="1:5" ht="15">
      <c r="A1247" s="129"/>
      <c r="B1247" s="273"/>
      <c r="C1247" s="98"/>
      <c r="D1247" s="98"/>
      <c r="E1247" s="275"/>
    </row>
    <row r="1248" spans="1:5" ht="15">
      <c r="A1248" s="129"/>
      <c r="B1248" s="273"/>
      <c r="C1248" s="98"/>
      <c r="D1248" s="98"/>
      <c r="E1248" s="275"/>
    </row>
    <row r="1249" spans="1:5" ht="15">
      <c r="A1249" s="129"/>
      <c r="B1249" s="273"/>
      <c r="C1249" s="98"/>
      <c r="D1249" s="98"/>
      <c r="E1249" s="275"/>
    </row>
    <row r="1250" spans="1:5" ht="15">
      <c r="A1250" s="129"/>
      <c r="B1250" s="273"/>
      <c r="C1250" s="98"/>
      <c r="D1250" s="98"/>
      <c r="E1250" s="275"/>
    </row>
    <row r="1251" spans="1:5" ht="15">
      <c r="A1251" s="129"/>
      <c r="B1251" s="273"/>
      <c r="C1251" s="98"/>
      <c r="D1251" s="98"/>
      <c r="E1251" s="275"/>
    </row>
    <row r="1252" spans="1:5" ht="15">
      <c r="A1252" s="129"/>
      <c r="B1252" s="273"/>
      <c r="C1252" s="98"/>
      <c r="D1252" s="98"/>
      <c r="E1252" s="275"/>
    </row>
    <row r="1253" spans="1:5" ht="15">
      <c r="A1253" s="129"/>
      <c r="B1253" s="273"/>
      <c r="C1253" s="98"/>
      <c r="D1253" s="98"/>
      <c r="E1253" s="275"/>
    </row>
    <row r="1254" spans="1:5" ht="15">
      <c r="A1254" s="129"/>
      <c r="B1254" s="273"/>
      <c r="C1254" s="98"/>
      <c r="D1254" s="98"/>
      <c r="E1254" s="275"/>
    </row>
    <row r="1255" spans="1:5" ht="15">
      <c r="A1255" s="129"/>
      <c r="B1255" s="273"/>
      <c r="C1255" s="98"/>
      <c r="D1255" s="98"/>
      <c r="E1255" s="275"/>
    </row>
    <row r="1256" spans="1:5" ht="15">
      <c r="A1256" s="129"/>
      <c r="B1256" s="273"/>
      <c r="C1256" s="98"/>
      <c r="D1256" s="98"/>
      <c r="E1256" s="275"/>
    </row>
    <row r="1257" spans="1:5" ht="15">
      <c r="A1257" s="129"/>
      <c r="B1257" s="273"/>
      <c r="C1257" s="98"/>
      <c r="D1257" s="98"/>
      <c r="E1257" s="275"/>
    </row>
    <row r="1258" spans="1:5" ht="15">
      <c r="A1258" s="129"/>
      <c r="B1258" s="273"/>
      <c r="C1258" s="98"/>
      <c r="D1258" s="98"/>
      <c r="E1258" s="275"/>
    </row>
    <row r="1259" spans="1:5" ht="15">
      <c r="A1259" s="129"/>
      <c r="B1259" s="273"/>
      <c r="C1259" s="98"/>
      <c r="D1259" s="98"/>
      <c r="E1259" s="275"/>
    </row>
    <row r="1260" spans="1:5" ht="15">
      <c r="A1260" s="129"/>
      <c r="B1260" s="273"/>
      <c r="C1260" s="98"/>
      <c r="D1260" s="98"/>
      <c r="E1260" s="275"/>
    </row>
    <row r="1261" spans="1:5" ht="15">
      <c r="A1261" s="129"/>
      <c r="B1261" s="273"/>
      <c r="C1261" s="98"/>
      <c r="D1261" s="98"/>
      <c r="E1261" s="275"/>
    </row>
    <row r="1262" spans="1:5" ht="15">
      <c r="A1262" s="129"/>
      <c r="B1262" s="273"/>
      <c r="C1262" s="98"/>
      <c r="D1262" s="98"/>
      <c r="E1262" s="275"/>
    </row>
    <row r="1263" spans="1:5" ht="15">
      <c r="A1263" s="129"/>
      <c r="B1263" s="273"/>
      <c r="C1263" s="98"/>
      <c r="D1263" s="98"/>
      <c r="E1263" s="275"/>
    </row>
    <row r="1264" spans="1:5" ht="15">
      <c r="A1264" s="129"/>
      <c r="B1264" s="273"/>
      <c r="C1264" s="98"/>
      <c r="D1264" s="98"/>
      <c r="E1264" s="275"/>
    </row>
    <row r="1265" spans="1:5" ht="15">
      <c r="A1265" s="129"/>
      <c r="B1265" s="273"/>
      <c r="C1265" s="98"/>
      <c r="D1265" s="98"/>
      <c r="E1265" s="275"/>
    </row>
    <row r="1266" spans="1:5" ht="15">
      <c r="A1266" s="129"/>
      <c r="B1266" s="273"/>
      <c r="C1266" s="98"/>
      <c r="D1266" s="98"/>
      <c r="E1266" s="275"/>
    </row>
    <row r="1267" spans="1:5" ht="15">
      <c r="A1267" s="129"/>
      <c r="B1267" s="273"/>
      <c r="C1267" s="98"/>
      <c r="D1267" s="98"/>
      <c r="E1267" s="275"/>
    </row>
    <row r="1268" spans="1:5" ht="15">
      <c r="A1268" s="129"/>
      <c r="B1268" s="273"/>
      <c r="C1268" s="98"/>
      <c r="D1268" s="98"/>
      <c r="E1268" s="275"/>
    </row>
    <row r="1269" spans="1:5" ht="15">
      <c r="A1269" s="129"/>
      <c r="B1269" s="273"/>
      <c r="C1269" s="98"/>
      <c r="D1269" s="98"/>
      <c r="E1269" s="275"/>
    </row>
    <row r="1270" spans="1:5" ht="15">
      <c r="A1270" s="129"/>
      <c r="B1270" s="273"/>
      <c r="C1270" s="98"/>
      <c r="D1270" s="98"/>
      <c r="E1270" s="275"/>
    </row>
    <row r="1271" spans="1:5" ht="15">
      <c r="A1271" s="129"/>
      <c r="B1271" s="273"/>
      <c r="C1271" s="98"/>
      <c r="D1271" s="98"/>
      <c r="E1271" s="275"/>
    </row>
    <row r="1272" spans="1:5" ht="15">
      <c r="A1272" s="129"/>
      <c r="B1272" s="273"/>
      <c r="C1272" s="98"/>
      <c r="D1272" s="98"/>
      <c r="E1272" s="275"/>
    </row>
    <row r="1273" spans="1:5" ht="15">
      <c r="A1273" s="129"/>
      <c r="B1273" s="273"/>
      <c r="C1273" s="98"/>
      <c r="D1273" s="98"/>
      <c r="E1273" s="275"/>
    </row>
    <row r="1274" spans="1:5" ht="15">
      <c r="A1274" s="129"/>
      <c r="B1274" s="273"/>
      <c r="C1274" s="98"/>
      <c r="D1274" s="98"/>
      <c r="E1274" s="275"/>
    </row>
    <row r="1275" spans="1:5" ht="15">
      <c r="A1275" s="129"/>
      <c r="B1275" s="273"/>
      <c r="C1275" s="98"/>
      <c r="D1275" s="98"/>
      <c r="E1275" s="275"/>
    </row>
    <row r="1276" spans="1:5" ht="15">
      <c r="A1276" s="129"/>
      <c r="B1276" s="273"/>
      <c r="C1276" s="98"/>
      <c r="D1276" s="98"/>
      <c r="E1276" s="275"/>
    </row>
    <row r="1277" spans="1:5" ht="15">
      <c r="A1277" s="129"/>
      <c r="B1277" s="273"/>
      <c r="C1277" s="98"/>
      <c r="D1277" s="98"/>
      <c r="E1277" s="275"/>
    </row>
    <row r="1278" spans="1:5" ht="15">
      <c r="A1278" s="129"/>
      <c r="B1278" s="273"/>
      <c r="C1278" s="98"/>
      <c r="D1278" s="98"/>
      <c r="E1278" s="275"/>
    </row>
    <row r="1279" spans="1:5" ht="15">
      <c r="A1279" s="129"/>
      <c r="B1279" s="273"/>
      <c r="C1279" s="98"/>
      <c r="D1279" s="98"/>
      <c r="E1279" s="275"/>
    </row>
    <row r="1280" spans="1:5" ht="15">
      <c r="A1280" s="129"/>
      <c r="B1280" s="273"/>
      <c r="C1280" s="98"/>
      <c r="D1280" s="98"/>
      <c r="E1280" s="275"/>
    </row>
    <row r="1281" spans="1:5" ht="15">
      <c r="A1281" s="129"/>
      <c r="B1281" s="273"/>
      <c r="C1281" s="98"/>
      <c r="D1281" s="98"/>
      <c r="E1281" s="275"/>
    </row>
    <row r="1282" spans="1:5" ht="15">
      <c r="A1282" s="129"/>
      <c r="B1282" s="273"/>
      <c r="C1282" s="98"/>
      <c r="D1282" s="98"/>
      <c r="E1282" s="275"/>
    </row>
    <row r="1283" spans="1:5" ht="15">
      <c r="A1283" s="129"/>
      <c r="B1283" s="273"/>
      <c r="C1283" s="98"/>
      <c r="D1283" s="98"/>
      <c r="E1283" s="275"/>
    </row>
    <row r="1284" spans="1:5" ht="15">
      <c r="A1284" s="129"/>
      <c r="B1284" s="273"/>
      <c r="C1284" s="98"/>
      <c r="D1284" s="98"/>
      <c r="E1284" s="275"/>
    </row>
    <row r="1285" spans="1:5" ht="15">
      <c r="A1285" s="129"/>
      <c r="B1285" s="273"/>
      <c r="C1285" s="98"/>
      <c r="D1285" s="98"/>
      <c r="E1285" s="275"/>
    </row>
    <row r="1286" spans="1:5" ht="15">
      <c r="A1286" s="129"/>
      <c r="B1286" s="273"/>
      <c r="C1286" s="98"/>
      <c r="D1286" s="98"/>
      <c r="E1286" s="275"/>
    </row>
    <row r="1287" spans="1:5" ht="15">
      <c r="A1287" s="129"/>
      <c r="B1287" s="273"/>
      <c r="C1287" s="98"/>
      <c r="D1287" s="98"/>
      <c r="E1287" s="275"/>
    </row>
    <row r="1288" spans="1:5" ht="15">
      <c r="A1288" s="129"/>
      <c r="B1288" s="273"/>
      <c r="C1288" s="98"/>
      <c r="D1288" s="98"/>
      <c r="E1288" s="275"/>
    </row>
    <row r="1289" spans="1:5" ht="15">
      <c r="A1289" s="129"/>
      <c r="B1289" s="273"/>
      <c r="C1289" s="98"/>
      <c r="D1289" s="98"/>
      <c r="E1289" s="275"/>
    </row>
    <row r="1290" spans="1:5" ht="15">
      <c r="A1290" s="129"/>
      <c r="B1290" s="273"/>
      <c r="C1290" s="98"/>
      <c r="D1290" s="98"/>
      <c r="E1290" s="275"/>
    </row>
    <row r="1291" spans="1:5" ht="15">
      <c r="A1291" s="129"/>
      <c r="B1291" s="273"/>
      <c r="C1291" s="98"/>
      <c r="D1291" s="98"/>
      <c r="E1291" s="275"/>
    </row>
    <row r="1292" spans="1:5" ht="15">
      <c r="A1292" s="129"/>
      <c r="B1292" s="273"/>
      <c r="C1292" s="98"/>
      <c r="D1292" s="98"/>
      <c r="E1292" s="275"/>
    </row>
    <row r="1293" spans="1:5" ht="15">
      <c r="A1293" s="129"/>
      <c r="B1293" s="273"/>
      <c r="C1293" s="98"/>
      <c r="D1293" s="98"/>
      <c r="E1293" s="275"/>
    </row>
    <row r="1294" spans="1:5" ht="15">
      <c r="A1294" s="129"/>
      <c r="B1294" s="273"/>
      <c r="C1294" s="98"/>
      <c r="D1294" s="98"/>
      <c r="E1294" s="275"/>
    </row>
    <row r="1295" spans="1:5" ht="15">
      <c r="A1295" s="129"/>
      <c r="B1295" s="273"/>
      <c r="C1295" s="98"/>
      <c r="D1295" s="98"/>
      <c r="E1295" s="275"/>
    </row>
    <row r="1296" spans="1:5" ht="15">
      <c r="A1296" s="129"/>
      <c r="B1296" s="273"/>
      <c r="C1296" s="98"/>
      <c r="D1296" s="98"/>
      <c r="E1296" s="275"/>
    </row>
    <row r="1297" spans="1:5" ht="15">
      <c r="A1297" s="129"/>
      <c r="B1297" s="273"/>
      <c r="C1297" s="98"/>
      <c r="D1297" s="98"/>
      <c r="E1297" s="275"/>
    </row>
    <row r="1298" spans="1:5" ht="15">
      <c r="A1298" s="129"/>
      <c r="B1298" s="273"/>
      <c r="C1298" s="98"/>
      <c r="D1298" s="98"/>
      <c r="E1298" s="275"/>
    </row>
    <row r="1299" spans="1:5" ht="15">
      <c r="A1299" s="129"/>
      <c r="B1299" s="273"/>
      <c r="C1299" s="98"/>
      <c r="D1299" s="98"/>
      <c r="E1299" s="275"/>
    </row>
    <row r="1300" spans="1:5" ht="15">
      <c r="A1300" s="129"/>
      <c r="B1300" s="273"/>
      <c r="C1300" s="98"/>
      <c r="D1300" s="98"/>
      <c r="E1300" s="275"/>
    </row>
    <row r="1301" spans="1:5" ht="15">
      <c r="A1301" s="129"/>
      <c r="B1301" s="273"/>
      <c r="C1301" s="98"/>
      <c r="D1301" s="98"/>
      <c r="E1301" s="275"/>
    </row>
    <row r="1302" spans="1:5" ht="15">
      <c r="A1302" s="129"/>
      <c r="B1302" s="273"/>
      <c r="C1302" s="98"/>
      <c r="D1302" s="98"/>
      <c r="E1302" s="275"/>
    </row>
    <row r="1303" spans="1:5" ht="15">
      <c r="A1303" s="129"/>
      <c r="B1303" s="273"/>
      <c r="C1303" s="98"/>
      <c r="D1303" s="98"/>
      <c r="E1303" s="275"/>
    </row>
    <row r="1304" spans="1:5" ht="15">
      <c r="A1304" s="129"/>
      <c r="B1304" s="273"/>
      <c r="C1304" s="98"/>
      <c r="D1304" s="98"/>
      <c r="E1304" s="275"/>
    </row>
    <row r="1305" spans="1:5" ht="15">
      <c r="A1305" s="129"/>
      <c r="B1305" s="273"/>
      <c r="C1305" s="98"/>
      <c r="D1305" s="98"/>
      <c r="E1305" s="275"/>
    </row>
    <row r="1306" spans="1:5" ht="15">
      <c r="A1306" s="129"/>
      <c r="B1306" s="273"/>
      <c r="C1306" s="98"/>
      <c r="D1306" s="98"/>
      <c r="E1306" s="275"/>
    </row>
    <row r="1307" spans="1:5" ht="15">
      <c r="A1307" s="129"/>
      <c r="B1307" s="273"/>
      <c r="C1307" s="98"/>
      <c r="D1307" s="98"/>
      <c r="E1307" s="275"/>
    </row>
    <row r="1308" spans="1:5" ht="15">
      <c r="A1308" s="129"/>
      <c r="B1308" s="273"/>
      <c r="C1308" s="98"/>
      <c r="D1308" s="98"/>
      <c r="E1308" s="275"/>
    </row>
    <row r="1309" spans="1:5" ht="15">
      <c r="A1309" s="129"/>
      <c r="B1309" s="273"/>
      <c r="C1309" s="98"/>
      <c r="D1309" s="98"/>
      <c r="E1309" s="275"/>
    </row>
    <row r="1310" spans="1:5" ht="15">
      <c r="A1310" s="129"/>
      <c r="B1310" s="273"/>
      <c r="C1310" s="98"/>
      <c r="D1310" s="98"/>
      <c r="E1310" s="275"/>
    </row>
    <row r="1311" spans="1:5" ht="15">
      <c r="A1311" s="129"/>
      <c r="B1311" s="273"/>
      <c r="C1311" s="98"/>
      <c r="D1311" s="98"/>
      <c r="E1311" s="275"/>
    </row>
    <row r="1312" spans="1:5" ht="15">
      <c r="A1312" s="129"/>
      <c r="B1312" s="273"/>
      <c r="C1312" s="98"/>
      <c r="D1312" s="98"/>
      <c r="E1312" s="275"/>
    </row>
    <row r="1313" spans="1:5" ht="15">
      <c r="A1313" s="129"/>
      <c r="B1313" s="273"/>
      <c r="C1313" s="98"/>
      <c r="D1313" s="98"/>
      <c r="E1313" s="275"/>
    </row>
    <row r="1314" spans="1:5" ht="15">
      <c r="A1314" s="129"/>
      <c r="B1314" s="273"/>
      <c r="C1314" s="98"/>
      <c r="D1314" s="98"/>
      <c r="E1314" s="275"/>
    </row>
    <row r="1315" spans="1:5" ht="15">
      <c r="A1315" s="129"/>
      <c r="B1315" s="273"/>
      <c r="C1315" s="98"/>
      <c r="D1315" s="98"/>
      <c r="E1315" s="275"/>
    </row>
    <row r="1316" spans="1:5" ht="15">
      <c r="A1316" s="129"/>
      <c r="B1316" s="273"/>
      <c r="C1316" s="98"/>
      <c r="D1316" s="98"/>
      <c r="E1316" s="275"/>
    </row>
    <row r="1317" spans="1:5" ht="15">
      <c r="A1317" s="129"/>
      <c r="B1317" s="273"/>
      <c r="C1317" s="98"/>
      <c r="D1317" s="98"/>
      <c r="E1317" s="275"/>
    </row>
    <row r="1318" spans="1:5" ht="15">
      <c r="A1318" s="129"/>
      <c r="B1318" s="273"/>
      <c r="C1318" s="98"/>
      <c r="D1318" s="98"/>
      <c r="E1318" s="275"/>
    </row>
    <row r="1319" spans="1:5" ht="15">
      <c r="A1319" s="129"/>
      <c r="B1319" s="273"/>
      <c r="C1319" s="98"/>
      <c r="D1319" s="98"/>
      <c r="E1319" s="275"/>
    </row>
    <row r="1320" spans="1:5" ht="15">
      <c r="A1320" s="129"/>
      <c r="B1320" s="273"/>
      <c r="C1320" s="98"/>
      <c r="D1320" s="98"/>
      <c r="E1320" s="275"/>
    </row>
    <row r="1321" spans="1:5" ht="15">
      <c r="A1321" s="129"/>
      <c r="B1321" s="273"/>
      <c r="C1321" s="98"/>
      <c r="D1321" s="98"/>
      <c r="E1321" s="275"/>
    </row>
    <row r="1322" spans="1:5" ht="15">
      <c r="A1322" s="129"/>
      <c r="B1322" s="273"/>
      <c r="C1322" s="98"/>
      <c r="D1322" s="98"/>
      <c r="E1322" s="275"/>
    </row>
    <row r="1323" spans="1:5" ht="15">
      <c r="A1323" s="129"/>
      <c r="B1323" s="273"/>
      <c r="C1323" s="98"/>
      <c r="D1323" s="98"/>
      <c r="E1323" s="275"/>
    </row>
    <row r="1324" spans="1:5" ht="15">
      <c r="A1324" s="129"/>
      <c r="B1324" s="273"/>
      <c r="C1324" s="98"/>
      <c r="D1324" s="98"/>
      <c r="E1324" s="275"/>
    </row>
    <row r="1325" spans="1:5" ht="15">
      <c r="A1325" s="129"/>
      <c r="B1325" s="273"/>
      <c r="C1325" s="98"/>
      <c r="D1325" s="98"/>
      <c r="E1325" s="275"/>
    </row>
    <row r="1326" spans="1:5" ht="15">
      <c r="A1326" s="129"/>
      <c r="B1326" s="273"/>
      <c r="C1326" s="98"/>
      <c r="D1326" s="98"/>
      <c r="E1326" s="275"/>
    </row>
    <row r="1327" spans="1:5" ht="15">
      <c r="A1327" s="129"/>
      <c r="B1327" s="273"/>
      <c r="C1327" s="98"/>
      <c r="D1327" s="98"/>
      <c r="E1327" s="275"/>
    </row>
    <row r="1328" spans="1:5" ht="15">
      <c r="A1328" s="129"/>
      <c r="B1328" s="273"/>
      <c r="C1328" s="98"/>
      <c r="D1328" s="98"/>
      <c r="E1328" s="275"/>
    </row>
    <row r="1329" spans="1:5" ht="15">
      <c r="A1329" s="129"/>
      <c r="B1329" s="273"/>
      <c r="C1329" s="98"/>
      <c r="D1329" s="98"/>
      <c r="E1329" s="275"/>
    </row>
    <row r="1330" spans="1:5" ht="15">
      <c r="A1330" s="129"/>
      <c r="B1330" s="273"/>
      <c r="C1330" s="98"/>
      <c r="D1330" s="98"/>
      <c r="E1330" s="275"/>
    </row>
    <row r="1331" spans="1:5" ht="15">
      <c r="A1331" s="129"/>
      <c r="B1331" s="273"/>
      <c r="C1331" s="98"/>
      <c r="D1331" s="98"/>
      <c r="E1331" s="275"/>
    </row>
    <row r="1332" spans="1:5" ht="15">
      <c r="A1332" s="129"/>
      <c r="B1332" s="273"/>
      <c r="C1332" s="98"/>
      <c r="D1332" s="98"/>
      <c r="E1332" s="275"/>
    </row>
    <row r="1333" spans="1:5" ht="15">
      <c r="A1333" s="129"/>
      <c r="B1333" s="273"/>
      <c r="C1333" s="98"/>
      <c r="D1333" s="98"/>
      <c r="E1333" s="275"/>
    </row>
    <row r="1334" spans="1:5" ht="15">
      <c r="A1334" s="129"/>
      <c r="B1334" s="273"/>
      <c r="C1334" s="98"/>
      <c r="D1334" s="98"/>
      <c r="E1334" s="275"/>
    </row>
    <row r="1335" spans="1:5" ht="15">
      <c r="A1335" s="129"/>
      <c r="B1335" s="273"/>
      <c r="C1335" s="98"/>
      <c r="D1335" s="98"/>
      <c r="E1335" s="275"/>
    </row>
    <row r="1336" spans="1:5" ht="15">
      <c r="A1336" s="129"/>
      <c r="B1336" s="273"/>
      <c r="C1336" s="98"/>
      <c r="D1336" s="98"/>
      <c r="E1336" s="275"/>
    </row>
    <row r="1337" spans="1:5" ht="15">
      <c r="A1337" s="129"/>
      <c r="B1337" s="273"/>
      <c r="C1337" s="98"/>
      <c r="D1337" s="98"/>
      <c r="E1337" s="275"/>
    </row>
    <row r="1338" spans="1:5" ht="15">
      <c r="A1338" s="129"/>
      <c r="B1338" s="273"/>
      <c r="C1338" s="98"/>
      <c r="D1338" s="98"/>
      <c r="E1338" s="275"/>
    </row>
    <row r="1339" spans="1:5" ht="15">
      <c r="A1339" s="129"/>
      <c r="B1339" s="273"/>
      <c r="C1339" s="98"/>
      <c r="D1339" s="98"/>
      <c r="E1339" s="275"/>
    </row>
    <row r="1340" spans="1:5" ht="15">
      <c r="A1340" s="129"/>
      <c r="B1340" s="273"/>
      <c r="C1340" s="98"/>
      <c r="D1340" s="98"/>
      <c r="E1340" s="275"/>
    </row>
    <row r="1341" spans="1:5" ht="15">
      <c r="A1341" s="129"/>
      <c r="B1341" s="273"/>
      <c r="C1341" s="98"/>
      <c r="D1341" s="98"/>
      <c r="E1341" s="275"/>
    </row>
    <row r="1342" spans="1:5" ht="15">
      <c r="A1342" s="129"/>
      <c r="B1342" s="273"/>
      <c r="C1342" s="98"/>
      <c r="D1342" s="98"/>
      <c r="E1342" s="275"/>
    </row>
    <row r="1343" spans="1:5" ht="15">
      <c r="A1343" s="129"/>
      <c r="B1343" s="273"/>
      <c r="C1343" s="98"/>
      <c r="D1343" s="98"/>
      <c r="E1343" s="275"/>
    </row>
    <row r="1344" spans="1:5" ht="15">
      <c r="A1344" s="129"/>
      <c r="B1344" s="273"/>
      <c r="C1344" s="98"/>
      <c r="D1344" s="98"/>
      <c r="E1344" s="275"/>
    </row>
    <row r="1345" spans="1:5" ht="15">
      <c r="A1345" s="129"/>
      <c r="B1345" s="273"/>
      <c r="C1345" s="98"/>
      <c r="D1345" s="98"/>
      <c r="E1345" s="275"/>
    </row>
    <row r="1346" spans="1:5" ht="15">
      <c r="A1346" s="129"/>
      <c r="B1346" s="273"/>
      <c r="C1346" s="98"/>
      <c r="D1346" s="98"/>
      <c r="E1346" s="275"/>
    </row>
    <row r="1347" spans="1:5" ht="15">
      <c r="A1347" s="129"/>
      <c r="B1347" s="273"/>
      <c r="C1347" s="98"/>
      <c r="D1347" s="98"/>
      <c r="E1347" s="275"/>
    </row>
    <row r="1348" spans="1:5" ht="15">
      <c r="A1348" s="129"/>
      <c r="B1348" s="273"/>
      <c r="C1348" s="98"/>
      <c r="D1348" s="98"/>
      <c r="E1348" s="275"/>
    </row>
    <row r="1349" spans="1:5" ht="15">
      <c r="A1349" s="129"/>
      <c r="B1349" s="273"/>
      <c r="C1349" s="98"/>
      <c r="D1349" s="98"/>
      <c r="E1349" s="275"/>
    </row>
    <row r="1350" spans="1:5" ht="15">
      <c r="A1350" s="129"/>
      <c r="B1350" s="273"/>
      <c r="C1350" s="98"/>
      <c r="D1350" s="98"/>
      <c r="E1350" s="275"/>
    </row>
    <row r="1351" spans="1:5" ht="15">
      <c r="A1351" s="129"/>
      <c r="B1351" s="273"/>
      <c r="C1351" s="98"/>
      <c r="D1351" s="98"/>
      <c r="E1351" s="275"/>
    </row>
    <row r="1352" spans="1:5" ht="15">
      <c r="A1352" s="129"/>
      <c r="B1352" s="273"/>
      <c r="C1352" s="98"/>
      <c r="D1352" s="98"/>
      <c r="E1352" s="275"/>
    </row>
    <row r="1353" spans="1:5" ht="15">
      <c r="A1353" s="129"/>
      <c r="B1353" s="273"/>
      <c r="C1353" s="98"/>
      <c r="D1353" s="98"/>
      <c r="E1353" s="275"/>
    </row>
    <row r="1354" spans="1:5" ht="15">
      <c r="A1354" s="129"/>
      <c r="B1354" s="273"/>
      <c r="C1354" s="98"/>
      <c r="D1354" s="98"/>
      <c r="E1354" s="275"/>
    </row>
    <row r="1355" spans="1:5" ht="15">
      <c r="A1355" s="129"/>
      <c r="B1355" s="273"/>
      <c r="C1355" s="98"/>
      <c r="D1355" s="98"/>
      <c r="E1355" s="275"/>
    </row>
    <row r="1356" spans="1:5" ht="15">
      <c r="A1356" s="129"/>
      <c r="B1356" s="273"/>
      <c r="C1356" s="98"/>
      <c r="D1356" s="98"/>
      <c r="E1356" s="275"/>
    </row>
    <row r="1357" spans="1:5" ht="15">
      <c r="A1357" s="129"/>
      <c r="B1357" s="273"/>
      <c r="C1357" s="98"/>
      <c r="D1357" s="98"/>
      <c r="E1357" s="275"/>
    </row>
    <row r="1358" spans="1:5" ht="15">
      <c r="A1358" s="129"/>
      <c r="B1358" s="273"/>
      <c r="C1358" s="98"/>
      <c r="D1358" s="98"/>
      <c r="E1358" s="275"/>
    </row>
    <row r="1359" spans="1:5" ht="15">
      <c r="A1359" s="129"/>
      <c r="B1359" s="273"/>
      <c r="C1359" s="98"/>
      <c r="D1359" s="98"/>
      <c r="E1359" s="275"/>
    </row>
    <row r="1360" spans="1:5" ht="15">
      <c r="A1360" s="129"/>
      <c r="B1360" s="273"/>
      <c r="C1360" s="98"/>
      <c r="D1360" s="98"/>
      <c r="E1360" s="275"/>
    </row>
    <row r="1361" spans="1:5" ht="15">
      <c r="A1361" s="129"/>
      <c r="B1361" s="273"/>
      <c r="C1361" s="98"/>
      <c r="D1361" s="98"/>
      <c r="E1361" s="275"/>
    </row>
    <row r="1362" spans="1:5" ht="15">
      <c r="A1362" s="129"/>
      <c r="B1362" s="273"/>
      <c r="C1362" s="98"/>
      <c r="D1362" s="98"/>
      <c r="E1362" s="275"/>
    </row>
    <row r="1363" spans="1:5" ht="15">
      <c r="A1363" s="129"/>
      <c r="B1363" s="273"/>
      <c r="C1363" s="98"/>
      <c r="D1363" s="98"/>
      <c r="E1363" s="275"/>
    </row>
    <row r="1364" spans="1:5" ht="15">
      <c r="A1364" s="129"/>
      <c r="B1364" s="273"/>
      <c r="C1364" s="98"/>
      <c r="D1364" s="98"/>
      <c r="E1364" s="275"/>
    </row>
    <row r="1365" spans="1:5" ht="15">
      <c r="A1365" s="129"/>
      <c r="B1365" s="273"/>
      <c r="C1365" s="98"/>
      <c r="D1365" s="98"/>
      <c r="E1365" s="275"/>
    </row>
    <row r="1366" spans="1:5" ht="15">
      <c r="A1366" s="129"/>
      <c r="B1366" s="273"/>
      <c r="C1366" s="98"/>
      <c r="D1366" s="98"/>
      <c r="E1366" s="275"/>
    </row>
    <row r="1367" spans="1:5" ht="15">
      <c r="A1367" s="129"/>
      <c r="B1367" s="273"/>
      <c r="C1367" s="98"/>
      <c r="D1367" s="98"/>
      <c r="E1367" s="275"/>
    </row>
    <row r="1368" spans="1:5" ht="15">
      <c r="A1368" s="129"/>
      <c r="B1368" s="273"/>
      <c r="C1368" s="98"/>
      <c r="D1368" s="98"/>
      <c r="E1368" s="275"/>
    </row>
    <row r="1369" spans="1:5" ht="15">
      <c r="A1369" s="129"/>
      <c r="B1369" s="273"/>
      <c r="C1369" s="98"/>
      <c r="D1369" s="98"/>
      <c r="E1369" s="275"/>
    </row>
    <row r="1370" spans="1:5" ht="15">
      <c r="A1370" s="129"/>
      <c r="B1370" s="273"/>
      <c r="C1370" s="98"/>
      <c r="D1370" s="98"/>
      <c r="E1370" s="275"/>
    </row>
    <row r="1371" spans="1:5" ht="15">
      <c r="A1371" s="129"/>
      <c r="B1371" s="273"/>
      <c r="C1371" s="98"/>
      <c r="D1371" s="98"/>
      <c r="E1371" s="275"/>
    </row>
    <row r="1372" spans="1:5" ht="15">
      <c r="A1372" s="129"/>
      <c r="B1372" s="273"/>
      <c r="C1372" s="98"/>
      <c r="D1372" s="98"/>
      <c r="E1372" s="275"/>
    </row>
    <row r="1373" spans="1:5" ht="15">
      <c r="A1373" s="129"/>
      <c r="B1373" s="273"/>
      <c r="C1373" s="98"/>
      <c r="D1373" s="98"/>
      <c r="E1373" s="275"/>
    </row>
    <row r="1374" spans="1:5" ht="15">
      <c r="A1374" s="129"/>
      <c r="B1374" s="273"/>
      <c r="C1374" s="98"/>
      <c r="D1374" s="98"/>
      <c r="E1374" s="275"/>
    </row>
    <row r="1375" spans="1:5" ht="15">
      <c r="A1375" s="129"/>
      <c r="B1375" s="273"/>
      <c r="C1375" s="98"/>
      <c r="D1375" s="98"/>
      <c r="E1375" s="275"/>
    </row>
    <row r="1376" spans="1:5" ht="15">
      <c r="A1376" s="129"/>
      <c r="B1376" s="273"/>
      <c r="C1376" s="98"/>
      <c r="D1376" s="98"/>
      <c r="E1376" s="275"/>
    </row>
    <row r="1377" spans="1:5" ht="15">
      <c r="A1377" s="129"/>
      <c r="B1377" s="273"/>
      <c r="C1377" s="98"/>
      <c r="D1377" s="98"/>
      <c r="E1377" s="275"/>
    </row>
    <row r="1378" spans="1:5" ht="15">
      <c r="A1378" s="129"/>
      <c r="B1378" s="273"/>
      <c r="C1378" s="98"/>
      <c r="D1378" s="98"/>
      <c r="E1378" s="275"/>
    </row>
    <row r="1379" spans="1:5" ht="15">
      <c r="A1379" s="129"/>
      <c r="B1379" s="273"/>
      <c r="C1379" s="98"/>
      <c r="D1379" s="98"/>
      <c r="E1379" s="275"/>
    </row>
    <row r="1380" spans="1:5" ht="15">
      <c r="A1380" s="129"/>
      <c r="B1380" s="273"/>
      <c r="C1380" s="98"/>
      <c r="D1380" s="98"/>
      <c r="E1380" s="275"/>
    </row>
    <row r="1381" spans="1:5" ht="15">
      <c r="A1381" s="129"/>
      <c r="B1381" s="273"/>
      <c r="C1381" s="98"/>
      <c r="D1381" s="98"/>
      <c r="E1381" s="275"/>
    </row>
    <row r="1382" spans="1:5" ht="15">
      <c r="A1382" s="129"/>
      <c r="B1382" s="273"/>
      <c r="C1382" s="98"/>
      <c r="D1382" s="98"/>
      <c r="E1382" s="275"/>
    </row>
    <row r="1383" spans="1:5" ht="15">
      <c r="A1383" s="129"/>
      <c r="B1383" s="273"/>
      <c r="C1383" s="98"/>
      <c r="D1383" s="98"/>
      <c r="E1383" s="275"/>
    </row>
    <row r="1384" spans="1:5" ht="15">
      <c r="A1384" s="129"/>
      <c r="B1384" s="273"/>
      <c r="C1384" s="98"/>
      <c r="D1384" s="98"/>
      <c r="E1384" s="275"/>
    </row>
    <row r="1385" spans="1:5" ht="15">
      <c r="A1385" s="129"/>
      <c r="B1385" s="273"/>
      <c r="C1385" s="98"/>
      <c r="D1385" s="98"/>
      <c r="E1385" s="275"/>
    </row>
    <row r="1386" spans="1:5" ht="15">
      <c r="A1386" s="129"/>
      <c r="B1386" s="273"/>
      <c r="C1386" s="98"/>
      <c r="D1386" s="98"/>
      <c r="E1386" s="275"/>
    </row>
    <row r="1387" spans="1:5" ht="15">
      <c r="A1387" s="129"/>
      <c r="B1387" s="273"/>
      <c r="C1387" s="98"/>
      <c r="D1387" s="98"/>
      <c r="E1387" s="275"/>
    </row>
    <row r="1388" spans="1:5" ht="15">
      <c r="A1388" s="129"/>
      <c r="B1388" s="273"/>
      <c r="C1388" s="98"/>
      <c r="D1388" s="98"/>
      <c r="E1388" s="275"/>
    </row>
    <row r="1389" spans="1:5" ht="15">
      <c r="A1389" s="129"/>
      <c r="B1389" s="273"/>
      <c r="C1389" s="98"/>
      <c r="D1389" s="98"/>
      <c r="E1389" s="275"/>
    </row>
    <row r="1390" spans="1:5" ht="15">
      <c r="A1390" s="129"/>
      <c r="B1390" s="273"/>
      <c r="C1390" s="98"/>
      <c r="D1390" s="98"/>
      <c r="E1390" s="275"/>
    </row>
    <row r="1391" spans="1:5" ht="15">
      <c r="A1391" s="129"/>
      <c r="B1391" s="273"/>
      <c r="C1391" s="98"/>
      <c r="D1391" s="98"/>
      <c r="E1391" s="275"/>
    </row>
    <row r="1392" spans="1:5" ht="15">
      <c r="A1392" s="129"/>
      <c r="B1392" s="273"/>
      <c r="C1392" s="98"/>
      <c r="D1392" s="98"/>
      <c r="E1392" s="275"/>
    </row>
    <row r="1393" spans="1:5" ht="15">
      <c r="A1393" s="129"/>
      <c r="B1393" s="273"/>
      <c r="C1393" s="98"/>
      <c r="D1393" s="98"/>
      <c r="E1393" s="275"/>
    </row>
    <row r="1394" spans="1:5" ht="15">
      <c r="A1394" s="129"/>
      <c r="B1394" s="273"/>
      <c r="C1394" s="98"/>
      <c r="D1394" s="98"/>
      <c r="E1394" s="275"/>
    </row>
    <row r="1395" spans="1:5" ht="15">
      <c r="A1395" s="129"/>
      <c r="B1395" s="273"/>
      <c r="C1395" s="98"/>
      <c r="D1395" s="98"/>
      <c r="E1395" s="275"/>
    </row>
    <row r="1396" spans="1:5" ht="15">
      <c r="A1396" s="129"/>
      <c r="B1396" s="273"/>
      <c r="C1396" s="98"/>
      <c r="D1396" s="98"/>
      <c r="E1396" s="275"/>
    </row>
    <row r="1397" spans="1:5" ht="15">
      <c r="A1397" s="129"/>
      <c r="B1397" s="273"/>
      <c r="C1397" s="98"/>
      <c r="D1397" s="98"/>
      <c r="E1397" s="275"/>
    </row>
    <row r="1398" spans="1:5" ht="15">
      <c r="A1398" s="129"/>
      <c r="B1398" s="273"/>
      <c r="C1398" s="98"/>
      <c r="D1398" s="98"/>
      <c r="E1398" s="275"/>
    </row>
    <row r="1399" spans="1:5" ht="15">
      <c r="A1399" s="129"/>
      <c r="B1399" s="273"/>
      <c r="C1399" s="98"/>
      <c r="D1399" s="98"/>
      <c r="E1399" s="275"/>
    </row>
    <row r="1400" spans="1:5" ht="15">
      <c r="A1400" s="129"/>
      <c r="B1400" s="273"/>
      <c r="C1400" s="98"/>
      <c r="D1400" s="98"/>
      <c r="E1400" s="275"/>
    </row>
    <row r="1401" spans="1:5" ht="15">
      <c r="A1401" s="129"/>
      <c r="B1401" s="273"/>
      <c r="C1401" s="98"/>
      <c r="D1401" s="98"/>
      <c r="E1401" s="275"/>
    </row>
    <row r="1402" spans="1:5" ht="15">
      <c r="A1402" s="129"/>
      <c r="B1402" s="273"/>
      <c r="C1402" s="98"/>
      <c r="D1402" s="98"/>
      <c r="E1402" s="275"/>
    </row>
    <row r="1403" spans="1:5" ht="15">
      <c r="A1403" s="129"/>
      <c r="B1403" s="273"/>
      <c r="C1403" s="98"/>
      <c r="D1403" s="98"/>
      <c r="E1403" s="275"/>
    </row>
    <row r="1404" spans="1:5" ht="15">
      <c r="A1404" s="129"/>
      <c r="B1404" s="273"/>
      <c r="C1404" s="98"/>
      <c r="D1404" s="98"/>
      <c r="E1404" s="275"/>
    </row>
    <row r="1405" spans="1:5" ht="15">
      <c r="A1405" s="129"/>
      <c r="B1405" s="273"/>
      <c r="C1405" s="98"/>
      <c r="D1405" s="98"/>
      <c r="E1405" s="275"/>
    </row>
    <row r="1406" spans="1:5" ht="15">
      <c r="A1406" s="129"/>
      <c r="B1406" s="273"/>
      <c r="C1406" s="98"/>
      <c r="D1406" s="98"/>
      <c r="E1406" s="275"/>
    </row>
    <row r="1407" spans="1:5" ht="15">
      <c r="A1407" s="129"/>
      <c r="B1407" s="273"/>
      <c r="C1407" s="98"/>
      <c r="D1407" s="98"/>
      <c r="E1407" s="275"/>
    </row>
    <row r="1408" spans="1:5" ht="15">
      <c r="A1408" s="129"/>
      <c r="B1408" s="273"/>
      <c r="C1408" s="98"/>
      <c r="D1408" s="98"/>
      <c r="E1408" s="275"/>
    </row>
    <row r="1409" spans="1:5" ht="15">
      <c r="A1409" s="129"/>
      <c r="B1409" s="273"/>
      <c r="C1409" s="98"/>
      <c r="D1409" s="98"/>
      <c r="E1409" s="275"/>
    </row>
    <row r="1410" spans="1:5" ht="15">
      <c r="A1410" s="129"/>
      <c r="B1410" s="273"/>
      <c r="C1410" s="98"/>
      <c r="D1410" s="98"/>
      <c r="E1410" s="275"/>
    </row>
    <row r="1411" spans="1:5" ht="15">
      <c r="A1411" s="129"/>
      <c r="B1411" s="273"/>
      <c r="C1411" s="98"/>
      <c r="D1411" s="98"/>
      <c r="E1411" s="275"/>
    </row>
    <row r="1412" spans="1:5" ht="15">
      <c r="A1412" s="129"/>
      <c r="B1412" s="273"/>
      <c r="C1412" s="98"/>
      <c r="D1412" s="98"/>
      <c r="E1412" s="275"/>
    </row>
    <row r="1413" spans="1:5" ht="15">
      <c r="A1413" s="129"/>
      <c r="B1413" s="273"/>
      <c r="C1413" s="98"/>
      <c r="D1413" s="98"/>
      <c r="E1413" s="275"/>
    </row>
    <row r="1414" spans="1:5" ht="15">
      <c r="A1414" s="129"/>
      <c r="B1414" s="273"/>
      <c r="C1414" s="98"/>
      <c r="D1414" s="98"/>
      <c r="E1414" s="275"/>
    </row>
    <row r="1415" spans="1:5" ht="15">
      <c r="A1415" s="129"/>
      <c r="B1415" s="273"/>
      <c r="C1415" s="98"/>
      <c r="D1415" s="98"/>
      <c r="E1415" s="275"/>
    </row>
    <row r="1416" spans="1:5" ht="15">
      <c r="A1416" s="129"/>
      <c r="B1416" s="273"/>
      <c r="C1416" s="98"/>
      <c r="D1416" s="98"/>
      <c r="E1416" s="275"/>
    </row>
    <row r="1417" spans="1:5" ht="15">
      <c r="A1417" s="129"/>
      <c r="B1417" s="273"/>
      <c r="C1417" s="98"/>
      <c r="D1417" s="98"/>
      <c r="E1417" s="275"/>
    </row>
    <row r="1418" spans="1:5" ht="15">
      <c r="A1418" s="129"/>
      <c r="B1418" s="273"/>
      <c r="C1418" s="98"/>
      <c r="D1418" s="98"/>
      <c r="E1418" s="275"/>
    </row>
    <row r="1419" spans="1:5" ht="15">
      <c r="A1419" s="129"/>
      <c r="B1419" s="273"/>
      <c r="C1419" s="98"/>
      <c r="D1419" s="98"/>
      <c r="E1419" s="275"/>
    </row>
    <row r="1420" spans="1:5" ht="15">
      <c r="A1420" s="129"/>
      <c r="B1420" s="273"/>
      <c r="C1420" s="98"/>
      <c r="D1420" s="98"/>
      <c r="E1420" s="275"/>
    </row>
    <row r="1421" spans="1:5" ht="15">
      <c r="A1421" s="129"/>
      <c r="B1421" s="273"/>
      <c r="C1421" s="98"/>
      <c r="D1421" s="98"/>
      <c r="E1421" s="275"/>
    </row>
    <row r="1422" spans="1:5" ht="15">
      <c r="A1422" s="129"/>
      <c r="B1422" s="273"/>
      <c r="C1422" s="98"/>
      <c r="D1422" s="98"/>
      <c r="E1422" s="275"/>
    </row>
    <row r="1423" spans="1:5" ht="15">
      <c r="A1423" s="129"/>
      <c r="B1423" s="273"/>
      <c r="C1423" s="98"/>
      <c r="D1423" s="98"/>
      <c r="E1423" s="275"/>
    </row>
    <row r="1424" spans="1:5" ht="15">
      <c r="A1424" s="129"/>
      <c r="B1424" s="273"/>
      <c r="C1424" s="98"/>
      <c r="D1424" s="98"/>
      <c r="E1424" s="275"/>
    </row>
    <row r="1425" spans="1:5" ht="15">
      <c r="A1425" s="129"/>
      <c r="B1425" s="273"/>
      <c r="C1425" s="98"/>
      <c r="D1425" s="98"/>
      <c r="E1425" s="275"/>
    </row>
    <row r="1426" spans="1:5" ht="15">
      <c r="A1426" s="129"/>
      <c r="B1426" s="273"/>
      <c r="C1426" s="98"/>
      <c r="D1426" s="98"/>
      <c r="E1426" s="275"/>
    </row>
    <row r="1427" spans="1:5" ht="15">
      <c r="A1427" s="129"/>
      <c r="B1427" s="273"/>
      <c r="C1427" s="98"/>
      <c r="D1427" s="98"/>
      <c r="E1427" s="275"/>
    </row>
    <row r="1428" spans="1:5" ht="15">
      <c r="A1428" s="129"/>
      <c r="B1428" s="273"/>
      <c r="C1428" s="98"/>
      <c r="D1428" s="98"/>
      <c r="E1428" s="275"/>
    </row>
    <row r="1429" spans="1:5" ht="15">
      <c r="A1429" s="129"/>
      <c r="B1429" s="273"/>
      <c r="C1429" s="98"/>
      <c r="D1429" s="98"/>
      <c r="E1429" s="275"/>
    </row>
    <row r="1430" spans="1:5" ht="15">
      <c r="A1430" s="129"/>
      <c r="B1430" s="273"/>
      <c r="C1430" s="98"/>
      <c r="D1430" s="98"/>
      <c r="E1430" s="275"/>
    </row>
    <row r="1431" spans="1:5" ht="15">
      <c r="A1431" s="129"/>
      <c r="B1431" s="273"/>
      <c r="C1431" s="98"/>
      <c r="D1431" s="98"/>
      <c r="E1431" s="275"/>
    </row>
    <row r="1432" spans="1:5" ht="15">
      <c r="A1432" s="129"/>
      <c r="B1432" s="273"/>
      <c r="C1432" s="98"/>
      <c r="D1432" s="98"/>
      <c r="E1432" s="275"/>
    </row>
    <row r="1433" spans="1:5" ht="15">
      <c r="A1433" s="129"/>
      <c r="B1433" s="273"/>
      <c r="C1433" s="98"/>
      <c r="D1433" s="98"/>
      <c r="E1433" s="275"/>
    </row>
    <row r="1434" spans="1:5" ht="15">
      <c r="A1434" s="129"/>
      <c r="B1434" s="273"/>
      <c r="C1434" s="98"/>
      <c r="D1434" s="98"/>
      <c r="E1434" s="275"/>
    </row>
    <row r="1435" spans="1:5" ht="15">
      <c r="A1435" s="129"/>
      <c r="B1435" s="273"/>
      <c r="C1435" s="98"/>
      <c r="D1435" s="98"/>
      <c r="E1435" s="275"/>
    </row>
    <row r="1436" spans="1:5" ht="15">
      <c r="A1436" s="129"/>
      <c r="B1436" s="273"/>
      <c r="C1436" s="98"/>
      <c r="D1436" s="98"/>
      <c r="E1436" s="275"/>
    </row>
    <row r="1437" spans="1:5" ht="15">
      <c r="A1437" s="129"/>
      <c r="B1437" s="273"/>
      <c r="C1437" s="98"/>
      <c r="D1437" s="98"/>
      <c r="E1437" s="275"/>
    </row>
    <row r="1438" spans="1:5" ht="15">
      <c r="A1438" s="129"/>
      <c r="B1438" s="273"/>
      <c r="C1438" s="98"/>
      <c r="D1438" s="98"/>
      <c r="E1438" s="275"/>
    </row>
    <row r="1439" spans="1:5" ht="15">
      <c r="A1439" s="129"/>
      <c r="B1439" s="273"/>
      <c r="C1439" s="98"/>
      <c r="D1439" s="98"/>
      <c r="E1439" s="275"/>
    </row>
    <row r="1440" spans="1:5" ht="15">
      <c r="A1440" s="129"/>
      <c r="B1440" s="273"/>
      <c r="C1440" s="98"/>
      <c r="D1440" s="98"/>
      <c r="E1440" s="275"/>
    </row>
    <row r="1441" spans="1:5" ht="15">
      <c r="A1441" s="129"/>
      <c r="B1441" s="273"/>
      <c r="C1441" s="98"/>
      <c r="D1441" s="98"/>
      <c r="E1441" s="275"/>
    </row>
    <row r="1442" spans="1:5" ht="15">
      <c r="A1442" s="129"/>
      <c r="B1442" s="273"/>
      <c r="C1442" s="98"/>
      <c r="D1442" s="98"/>
      <c r="E1442" s="275"/>
    </row>
    <row r="1443" spans="1:5" ht="15">
      <c r="A1443" s="129"/>
      <c r="B1443" s="273"/>
      <c r="C1443" s="98"/>
      <c r="D1443" s="98"/>
      <c r="E1443" s="275"/>
    </row>
    <row r="1444" spans="1:5" ht="15">
      <c r="A1444" s="129"/>
      <c r="B1444" s="273"/>
      <c r="C1444" s="98"/>
      <c r="D1444" s="98"/>
      <c r="E1444" s="275"/>
    </row>
    <row r="1445" spans="1:5" ht="15">
      <c r="A1445" s="129"/>
      <c r="B1445" s="273"/>
      <c r="C1445" s="98"/>
      <c r="D1445" s="98"/>
      <c r="E1445" s="275"/>
    </row>
    <row r="1446" spans="1:5" ht="15">
      <c r="A1446" s="129"/>
      <c r="B1446" s="273"/>
      <c r="C1446" s="98"/>
      <c r="D1446" s="98"/>
      <c r="E1446" s="275"/>
    </row>
    <row r="1447" spans="1:5" ht="15">
      <c r="A1447" s="129"/>
      <c r="B1447" s="273"/>
      <c r="C1447" s="98"/>
      <c r="D1447" s="98"/>
      <c r="E1447" s="275"/>
    </row>
    <row r="1448" spans="1:5" ht="15">
      <c r="A1448" s="129"/>
      <c r="B1448" s="273"/>
      <c r="C1448" s="98"/>
      <c r="D1448" s="98"/>
      <c r="E1448" s="275"/>
    </row>
    <row r="1449" spans="1:5" ht="15">
      <c r="A1449" s="129"/>
      <c r="B1449" s="273"/>
      <c r="C1449" s="98"/>
      <c r="D1449" s="98"/>
      <c r="E1449" s="275"/>
    </row>
    <row r="1450" spans="1:5" ht="15">
      <c r="A1450" s="129"/>
      <c r="B1450" s="273"/>
      <c r="C1450" s="98"/>
      <c r="D1450" s="98"/>
      <c r="E1450" s="275"/>
    </row>
    <row r="1451" spans="1:5" ht="15">
      <c r="A1451" s="129"/>
      <c r="B1451" s="273"/>
      <c r="C1451" s="98"/>
      <c r="D1451" s="98"/>
      <c r="E1451" s="275"/>
    </row>
    <row r="1452" spans="1:5" ht="15">
      <c r="A1452" s="129"/>
      <c r="B1452" s="273"/>
      <c r="C1452" s="98"/>
      <c r="D1452" s="98"/>
      <c r="E1452" s="275"/>
    </row>
    <row r="1453" spans="1:5" ht="15">
      <c r="A1453" s="129"/>
      <c r="B1453" s="273"/>
      <c r="C1453" s="98"/>
      <c r="D1453" s="98"/>
      <c r="E1453" s="275"/>
    </row>
    <row r="1454" spans="1:5" ht="15">
      <c r="A1454" s="129"/>
      <c r="B1454" s="273"/>
      <c r="C1454" s="98"/>
      <c r="D1454" s="98"/>
      <c r="E1454" s="275"/>
    </row>
    <row r="1455" spans="1:5" ht="15">
      <c r="A1455" s="129"/>
      <c r="B1455" s="273"/>
      <c r="C1455" s="98"/>
      <c r="D1455" s="98"/>
      <c r="E1455" s="275"/>
    </row>
    <row r="1456" spans="1:5" ht="15">
      <c r="A1456" s="129"/>
      <c r="B1456" s="273"/>
      <c r="C1456" s="98"/>
      <c r="D1456" s="98"/>
      <c r="E1456" s="275"/>
    </row>
    <row r="1457" spans="1:5" ht="15">
      <c r="A1457" s="129"/>
      <c r="B1457" s="273"/>
      <c r="C1457" s="98"/>
      <c r="D1457" s="98"/>
      <c r="E1457" s="275"/>
    </row>
    <row r="1458" spans="1:5" ht="15">
      <c r="A1458" s="129"/>
      <c r="B1458" s="273"/>
      <c r="C1458" s="98"/>
      <c r="D1458" s="98"/>
      <c r="E1458" s="275"/>
    </row>
    <row r="1459" spans="1:5" ht="15">
      <c r="A1459" s="129"/>
      <c r="B1459" s="273"/>
      <c r="C1459" s="98"/>
      <c r="D1459" s="98"/>
      <c r="E1459" s="275"/>
    </row>
    <row r="1460" spans="1:5" ht="15">
      <c r="A1460" s="129"/>
      <c r="B1460" s="273"/>
      <c r="C1460" s="98"/>
      <c r="D1460" s="98"/>
      <c r="E1460" s="275"/>
    </row>
    <row r="1461" spans="1:5" ht="15">
      <c r="A1461" s="129"/>
      <c r="B1461" s="273"/>
      <c r="C1461" s="98"/>
      <c r="D1461" s="98"/>
      <c r="E1461" s="275"/>
    </row>
    <row r="1462" spans="1:5" ht="15">
      <c r="A1462" s="129"/>
      <c r="B1462" s="273"/>
      <c r="C1462" s="98"/>
      <c r="D1462" s="98"/>
      <c r="E1462" s="275"/>
    </row>
    <row r="1463" spans="1:5" ht="15">
      <c r="A1463" s="129"/>
      <c r="B1463" s="273"/>
      <c r="C1463" s="98"/>
      <c r="D1463" s="98"/>
      <c r="E1463" s="275"/>
    </row>
    <row r="1464" spans="1:5" ht="15">
      <c r="A1464" s="129"/>
      <c r="B1464" s="273"/>
      <c r="C1464" s="98"/>
      <c r="D1464" s="98"/>
      <c r="E1464" s="275"/>
    </row>
    <row r="1465" spans="1:5" ht="15">
      <c r="A1465" s="129"/>
      <c r="B1465" s="273"/>
      <c r="C1465" s="98"/>
      <c r="D1465" s="98"/>
      <c r="E1465" s="275"/>
    </row>
    <row r="1466" spans="1:5" ht="15">
      <c r="A1466" s="129"/>
      <c r="B1466" s="273"/>
      <c r="C1466" s="98"/>
      <c r="D1466" s="98"/>
      <c r="E1466" s="275"/>
    </row>
    <row r="1467" spans="1:5" ht="15">
      <c r="A1467" s="129"/>
      <c r="B1467" s="273"/>
      <c r="C1467" s="98"/>
      <c r="D1467" s="98"/>
      <c r="E1467" s="275"/>
    </row>
    <row r="1468" spans="1:5" ht="15">
      <c r="A1468" s="129"/>
      <c r="B1468" s="273"/>
      <c r="C1468" s="98"/>
      <c r="D1468" s="98"/>
      <c r="E1468" s="275"/>
    </row>
    <row r="1469" spans="1:5" ht="15">
      <c r="A1469" s="129"/>
      <c r="B1469" s="273"/>
      <c r="C1469" s="98"/>
      <c r="D1469" s="98"/>
      <c r="E1469" s="275"/>
    </row>
    <row r="1470" spans="1:5" ht="15">
      <c r="A1470" s="129"/>
      <c r="B1470" s="273"/>
      <c r="C1470" s="98"/>
      <c r="D1470" s="98"/>
      <c r="E1470" s="275"/>
    </row>
    <row r="1471" spans="1:5" ht="15">
      <c r="A1471" s="129"/>
      <c r="B1471" s="273"/>
      <c r="C1471" s="98"/>
      <c r="D1471" s="98"/>
      <c r="E1471" s="275"/>
    </row>
    <row r="1472" spans="1:5" ht="15">
      <c r="A1472" s="129"/>
      <c r="B1472" s="273"/>
      <c r="C1472" s="98"/>
      <c r="D1472" s="98"/>
      <c r="E1472" s="275"/>
    </row>
    <row r="1473" spans="1:5" ht="15">
      <c r="A1473" s="129"/>
      <c r="B1473" s="273"/>
      <c r="C1473" s="98"/>
      <c r="D1473" s="98"/>
      <c r="E1473" s="275"/>
    </row>
    <row r="1474" spans="1:5" ht="15">
      <c r="A1474" s="129"/>
      <c r="B1474" s="273"/>
      <c r="C1474" s="98"/>
      <c r="D1474" s="98"/>
      <c r="E1474" s="275"/>
    </row>
    <row r="1475" spans="1:5" ht="15">
      <c r="A1475" s="129"/>
      <c r="B1475" s="273"/>
      <c r="C1475" s="98"/>
      <c r="D1475" s="98"/>
      <c r="E1475" s="275"/>
    </row>
    <row r="1476" spans="1:5" ht="15">
      <c r="A1476" s="129"/>
      <c r="B1476" s="273"/>
      <c r="C1476" s="98"/>
      <c r="D1476" s="98"/>
      <c r="E1476" s="275"/>
    </row>
    <row r="1477" spans="1:5" ht="15">
      <c r="A1477" s="129"/>
      <c r="B1477" s="273"/>
      <c r="C1477" s="98"/>
      <c r="D1477" s="98"/>
      <c r="E1477" s="275"/>
    </row>
    <row r="1478" spans="1:5" ht="15">
      <c r="A1478" s="129"/>
      <c r="B1478" s="273"/>
      <c r="C1478" s="98"/>
      <c r="D1478" s="98"/>
      <c r="E1478" s="275"/>
    </row>
    <row r="1479" spans="1:5" ht="15">
      <c r="A1479" s="129"/>
      <c r="B1479" s="273"/>
      <c r="C1479" s="98"/>
      <c r="D1479" s="98"/>
      <c r="E1479" s="275"/>
    </row>
    <row r="1480" spans="1:5" ht="15">
      <c r="A1480" s="129"/>
      <c r="B1480" s="273"/>
      <c r="C1480" s="98"/>
      <c r="D1480" s="98"/>
      <c r="E1480" s="275"/>
    </row>
    <row r="1481" spans="1:5" ht="15">
      <c r="A1481" s="129"/>
      <c r="B1481" s="273"/>
      <c r="C1481" s="98"/>
      <c r="D1481" s="98"/>
      <c r="E1481" s="275"/>
    </row>
    <row r="1482" spans="1:5" ht="15">
      <c r="A1482" s="129"/>
      <c r="B1482" s="273"/>
      <c r="C1482" s="98"/>
      <c r="D1482" s="98"/>
      <c r="E1482" s="275"/>
    </row>
    <row r="1483" spans="1:5" ht="15">
      <c r="A1483" s="129"/>
      <c r="B1483" s="273"/>
      <c r="C1483" s="98"/>
      <c r="D1483" s="98"/>
      <c r="E1483" s="275"/>
    </row>
    <row r="1484" spans="1:5" ht="15">
      <c r="A1484" s="129"/>
      <c r="B1484" s="273"/>
      <c r="C1484" s="98"/>
      <c r="D1484" s="98"/>
      <c r="E1484" s="275"/>
    </row>
    <row r="1485" spans="1:5" ht="15">
      <c r="A1485" s="129"/>
      <c r="B1485" s="273"/>
      <c r="C1485" s="98"/>
      <c r="D1485" s="98"/>
      <c r="E1485" s="275"/>
    </row>
    <row r="1486" spans="1:5" ht="15">
      <c r="A1486" s="129"/>
      <c r="B1486" s="273"/>
      <c r="C1486" s="98"/>
      <c r="D1486" s="98"/>
      <c r="E1486" s="275"/>
    </row>
    <row r="1487" spans="1:5" ht="15">
      <c r="A1487" s="129"/>
      <c r="B1487" s="273"/>
      <c r="C1487" s="98"/>
      <c r="D1487" s="98"/>
      <c r="E1487" s="275"/>
    </row>
    <row r="1488" spans="1:5" ht="15">
      <c r="A1488" s="129"/>
      <c r="B1488" s="273"/>
      <c r="C1488" s="98"/>
      <c r="D1488" s="98"/>
      <c r="E1488" s="275"/>
    </row>
    <row r="1489" spans="1:5" ht="15">
      <c r="A1489" s="129"/>
      <c r="B1489" s="273"/>
      <c r="C1489" s="98"/>
      <c r="D1489" s="98"/>
      <c r="E1489" s="275"/>
    </row>
    <row r="1490" spans="1:5" ht="15">
      <c r="A1490" s="129"/>
      <c r="B1490" s="273"/>
      <c r="C1490" s="98"/>
      <c r="D1490" s="98"/>
      <c r="E1490" s="275"/>
    </row>
    <row r="1491" spans="1:5" ht="15">
      <c r="A1491" s="129"/>
      <c r="B1491" s="273"/>
      <c r="C1491" s="98"/>
      <c r="D1491" s="98"/>
      <c r="E1491" s="275"/>
    </row>
    <row r="1492" spans="1:5" ht="15">
      <c r="A1492" s="129"/>
      <c r="B1492" s="273"/>
      <c r="C1492" s="98"/>
      <c r="D1492" s="98"/>
      <c r="E1492" s="275"/>
    </row>
    <row r="1493" spans="1:5" ht="15">
      <c r="A1493" s="129"/>
      <c r="B1493" s="273"/>
      <c r="C1493" s="98"/>
      <c r="D1493" s="98"/>
      <c r="E1493" s="275"/>
    </row>
    <row r="1494" spans="1:5" ht="15">
      <c r="A1494" s="129"/>
      <c r="B1494" s="273"/>
      <c r="C1494" s="98"/>
      <c r="D1494" s="98"/>
      <c r="E1494" s="275"/>
    </row>
    <row r="1495" spans="1:5" ht="15">
      <c r="A1495" s="129"/>
      <c r="B1495" s="273"/>
      <c r="C1495" s="98"/>
      <c r="D1495" s="98"/>
      <c r="E1495" s="275"/>
    </row>
    <row r="1496" spans="1:5" ht="15">
      <c r="A1496" s="129"/>
      <c r="B1496" s="273"/>
      <c r="C1496" s="98"/>
      <c r="D1496" s="98"/>
      <c r="E1496" s="275"/>
    </row>
    <row r="1497" spans="1:5" ht="15">
      <c r="A1497" s="129"/>
      <c r="B1497" s="273"/>
      <c r="C1497" s="98"/>
      <c r="D1497" s="98"/>
      <c r="E1497" s="275"/>
    </row>
    <row r="1498" spans="1:5" ht="15">
      <c r="A1498" s="129"/>
      <c r="B1498" s="273"/>
      <c r="C1498" s="98"/>
      <c r="D1498" s="98"/>
      <c r="E1498" s="275"/>
    </row>
    <row r="1499" spans="1:5" ht="15">
      <c r="A1499" s="129"/>
      <c r="B1499" s="273"/>
      <c r="C1499" s="98"/>
      <c r="D1499" s="98"/>
      <c r="E1499" s="275"/>
    </row>
    <row r="1500" spans="1:5" ht="15">
      <c r="A1500" s="129"/>
      <c r="B1500" s="273"/>
      <c r="C1500" s="98"/>
      <c r="D1500" s="98"/>
      <c r="E1500" s="275"/>
    </row>
    <row r="1501" spans="1:5" ht="15">
      <c r="A1501" s="129"/>
      <c r="B1501" s="273"/>
      <c r="C1501" s="98"/>
      <c r="D1501" s="98"/>
      <c r="E1501" s="275"/>
    </row>
    <row r="1502" spans="1:5" ht="15">
      <c r="A1502" s="129"/>
      <c r="B1502" s="273"/>
      <c r="C1502" s="98"/>
      <c r="D1502" s="98"/>
      <c r="E1502" s="275"/>
    </row>
    <row r="1503" spans="1:5" ht="15">
      <c r="A1503" s="129"/>
      <c r="B1503" s="273"/>
      <c r="C1503" s="98"/>
      <c r="D1503" s="98"/>
      <c r="E1503" s="275"/>
    </row>
    <row r="1504" spans="1:5" ht="15">
      <c r="A1504" s="129"/>
      <c r="B1504" s="273"/>
      <c r="C1504" s="98"/>
      <c r="D1504" s="98"/>
      <c r="E1504" s="275"/>
    </row>
    <row r="1505" spans="1:5" ht="15">
      <c r="A1505" s="129"/>
      <c r="B1505" s="273"/>
      <c r="C1505" s="98"/>
      <c r="D1505" s="98"/>
      <c r="E1505" s="275"/>
    </row>
    <row r="1506" spans="1:5" ht="15">
      <c r="A1506" s="129"/>
      <c r="B1506" s="273"/>
      <c r="C1506" s="98"/>
      <c r="D1506" s="98"/>
      <c r="E1506" s="275"/>
    </row>
    <row r="1507" spans="1:5" ht="15">
      <c r="A1507" s="129"/>
      <c r="B1507" s="273"/>
      <c r="C1507" s="98"/>
      <c r="D1507" s="98"/>
      <c r="E1507" s="275"/>
    </row>
    <row r="1508" spans="1:5" ht="15">
      <c r="A1508" s="129"/>
      <c r="B1508" s="273"/>
      <c r="C1508" s="98"/>
      <c r="D1508" s="98"/>
      <c r="E1508" s="275"/>
    </row>
    <row r="1509" spans="1:5" ht="15">
      <c r="A1509" s="129"/>
      <c r="B1509" s="273"/>
      <c r="C1509" s="98"/>
      <c r="D1509" s="98"/>
      <c r="E1509" s="275"/>
    </row>
    <row r="1510" spans="1:5" ht="15">
      <c r="A1510" s="129"/>
      <c r="B1510" s="273"/>
      <c r="C1510" s="98"/>
      <c r="D1510" s="98"/>
      <c r="E1510" s="275"/>
    </row>
    <row r="1511" spans="1:5" ht="15">
      <c r="A1511" s="129"/>
      <c r="B1511" s="273"/>
      <c r="C1511" s="98"/>
      <c r="D1511" s="98"/>
      <c r="E1511" s="275"/>
    </row>
    <row r="1512" spans="1:5" ht="15">
      <c r="A1512" s="129"/>
      <c r="B1512" s="273"/>
      <c r="C1512" s="98"/>
      <c r="D1512" s="98"/>
      <c r="E1512" s="275"/>
    </row>
    <row r="1513" spans="1:5" ht="15">
      <c r="A1513" s="129"/>
      <c r="B1513" s="273"/>
      <c r="C1513" s="98"/>
      <c r="D1513" s="98"/>
      <c r="E1513" s="275"/>
    </row>
    <row r="1514" spans="1:5" ht="15">
      <c r="A1514" s="129"/>
      <c r="B1514" s="273"/>
      <c r="C1514" s="98"/>
      <c r="D1514" s="98"/>
      <c r="E1514" s="275"/>
    </row>
    <row r="1515" spans="1:5" ht="15">
      <c r="A1515" s="129"/>
      <c r="B1515" s="273"/>
      <c r="C1515" s="98"/>
      <c r="D1515" s="98"/>
      <c r="E1515" s="275"/>
    </row>
    <row r="1516" spans="1:5" ht="15">
      <c r="A1516" s="129"/>
      <c r="B1516" s="273"/>
      <c r="C1516" s="98"/>
      <c r="D1516" s="98"/>
      <c r="E1516" s="275"/>
    </row>
    <row r="1517" spans="1:5" ht="15">
      <c r="A1517" s="129"/>
      <c r="B1517" s="273"/>
      <c r="C1517" s="98"/>
      <c r="D1517" s="98"/>
      <c r="E1517" s="275"/>
    </row>
    <row r="1518" spans="1:5" ht="15">
      <c r="A1518" s="129"/>
      <c r="B1518" s="273"/>
      <c r="C1518" s="98"/>
      <c r="D1518" s="98"/>
      <c r="E1518" s="275"/>
    </row>
    <row r="1519" spans="1:5" ht="15">
      <c r="A1519" s="129"/>
      <c r="B1519" s="273"/>
      <c r="C1519" s="98"/>
      <c r="D1519" s="98"/>
      <c r="E1519" s="275"/>
    </row>
    <row r="1520" spans="1:5" ht="15">
      <c r="A1520" s="129"/>
      <c r="B1520" s="273"/>
      <c r="C1520" s="98"/>
      <c r="D1520" s="98"/>
      <c r="E1520" s="275"/>
    </row>
    <row r="1521" spans="1:5" ht="15">
      <c r="A1521" s="129"/>
      <c r="B1521" s="273"/>
      <c r="C1521" s="98"/>
      <c r="D1521" s="98"/>
      <c r="E1521" s="275"/>
    </row>
    <row r="1522" spans="1:5" ht="15">
      <c r="A1522" s="129"/>
      <c r="B1522" s="273"/>
      <c r="C1522" s="98"/>
      <c r="D1522" s="98"/>
      <c r="E1522" s="275"/>
    </row>
    <row r="1523" spans="1:5" ht="15">
      <c r="A1523" s="129"/>
      <c r="B1523" s="273"/>
      <c r="C1523" s="98"/>
      <c r="D1523" s="98"/>
      <c r="E1523" s="275"/>
    </row>
    <row r="1524" spans="1:5" ht="15">
      <c r="A1524" s="129"/>
      <c r="B1524" s="273"/>
      <c r="C1524" s="98"/>
      <c r="D1524" s="98"/>
      <c r="E1524" s="275"/>
    </row>
    <row r="1525" spans="1:5" ht="15">
      <c r="A1525" s="129"/>
      <c r="B1525" s="273"/>
      <c r="C1525" s="98"/>
      <c r="D1525" s="98"/>
      <c r="E1525" s="275"/>
    </row>
    <row r="1526" spans="1:5" ht="15">
      <c r="A1526" s="129"/>
      <c r="B1526" s="273"/>
      <c r="C1526" s="98"/>
      <c r="D1526" s="98"/>
      <c r="E1526" s="275"/>
    </row>
    <row r="1527" spans="1:5" ht="15">
      <c r="A1527" s="129"/>
      <c r="B1527" s="273"/>
      <c r="C1527" s="98"/>
      <c r="D1527" s="98"/>
      <c r="E1527" s="275"/>
    </row>
    <row r="1528" spans="1:5" ht="15">
      <c r="A1528" s="129"/>
      <c r="B1528" s="273"/>
      <c r="C1528" s="98"/>
      <c r="D1528" s="98"/>
      <c r="E1528" s="275"/>
    </row>
    <row r="1529" spans="1:5" ht="15">
      <c r="A1529" s="129"/>
      <c r="B1529" s="273"/>
      <c r="C1529" s="98"/>
      <c r="D1529" s="98"/>
      <c r="E1529" s="275"/>
    </row>
    <row r="1530" spans="1:5" ht="15">
      <c r="A1530" s="129"/>
      <c r="B1530" s="273"/>
      <c r="C1530" s="98"/>
      <c r="D1530" s="98"/>
      <c r="E1530" s="275"/>
    </row>
    <row r="1531" spans="1:5" ht="15">
      <c r="A1531" s="129"/>
      <c r="B1531" s="273"/>
      <c r="C1531" s="98"/>
      <c r="D1531" s="98"/>
      <c r="E1531" s="275"/>
    </row>
    <row r="1532" spans="1:5" ht="15">
      <c r="A1532" s="129"/>
      <c r="B1532" s="273"/>
      <c r="C1532" s="98"/>
      <c r="D1532" s="98"/>
      <c r="E1532" s="275"/>
    </row>
    <row r="1533" spans="1:5" ht="15">
      <c r="A1533" s="129"/>
      <c r="B1533" s="273"/>
      <c r="C1533" s="98"/>
      <c r="D1533" s="98"/>
      <c r="E1533" s="275"/>
    </row>
    <row r="1534" spans="1:5" ht="15">
      <c r="A1534" s="129"/>
      <c r="B1534" s="273"/>
      <c r="C1534" s="98"/>
      <c r="D1534" s="98"/>
      <c r="E1534" s="275"/>
    </row>
    <row r="1535" spans="1:5" ht="15">
      <c r="A1535" s="129"/>
      <c r="B1535" s="273"/>
      <c r="C1535" s="98"/>
      <c r="D1535" s="98"/>
      <c r="E1535" s="275"/>
    </row>
    <row r="1536" spans="1:5" ht="15">
      <c r="A1536" s="129"/>
      <c r="B1536" s="273"/>
      <c r="C1536" s="98"/>
      <c r="D1536" s="98"/>
      <c r="E1536" s="275"/>
    </row>
    <row r="1537" spans="1:5" ht="15">
      <c r="A1537" s="129"/>
      <c r="B1537" s="273"/>
      <c r="C1537" s="98"/>
      <c r="D1537" s="98"/>
      <c r="E1537" s="275"/>
    </row>
    <row r="1538" spans="1:5" ht="15">
      <c r="A1538" s="129"/>
      <c r="B1538" s="273"/>
      <c r="C1538" s="98"/>
      <c r="D1538" s="98"/>
      <c r="E1538" s="275"/>
    </row>
    <row r="1539" spans="1:5" ht="15">
      <c r="A1539" s="129"/>
      <c r="B1539" s="273"/>
      <c r="C1539" s="98"/>
      <c r="D1539" s="98"/>
      <c r="E1539" s="275"/>
    </row>
    <row r="1540" spans="1:5" ht="15">
      <c r="A1540" s="129"/>
      <c r="B1540" s="273"/>
      <c r="C1540" s="98"/>
      <c r="D1540" s="98"/>
      <c r="E1540" s="275"/>
    </row>
    <row r="1541" spans="1:5" ht="15">
      <c r="A1541" s="129"/>
      <c r="B1541" s="273"/>
      <c r="C1541" s="98"/>
      <c r="D1541" s="98"/>
      <c r="E1541" s="275"/>
    </row>
    <row r="1542" spans="1:5" ht="15">
      <c r="A1542" s="129"/>
      <c r="B1542" s="273"/>
      <c r="C1542" s="98"/>
      <c r="D1542" s="98"/>
      <c r="E1542" s="275"/>
    </row>
    <row r="1543" spans="1:5" ht="15">
      <c r="A1543" s="129"/>
      <c r="B1543" s="273"/>
      <c r="C1543" s="98"/>
      <c r="D1543" s="98"/>
      <c r="E1543" s="275"/>
    </row>
    <row r="1544" spans="1:5" ht="15">
      <c r="A1544" s="129"/>
      <c r="B1544" s="273"/>
      <c r="C1544" s="98"/>
      <c r="D1544" s="98"/>
      <c r="E1544" s="275"/>
    </row>
    <row r="1545" spans="1:5" ht="15">
      <c r="A1545" s="129"/>
      <c r="B1545" s="273"/>
      <c r="C1545" s="98"/>
      <c r="D1545" s="98"/>
      <c r="E1545" s="275"/>
    </row>
    <row r="1546" spans="1:5" ht="15">
      <c r="A1546" s="129"/>
      <c r="B1546" s="273"/>
      <c r="C1546" s="98"/>
      <c r="D1546" s="98"/>
      <c r="E1546" s="275"/>
    </row>
    <row r="1547" spans="1:5" ht="15">
      <c r="A1547" s="129"/>
      <c r="B1547" s="273"/>
      <c r="C1547" s="98"/>
      <c r="D1547" s="98"/>
      <c r="E1547" s="275"/>
    </row>
    <row r="1548" spans="1:5" ht="15">
      <c r="A1548" s="129"/>
      <c r="B1548" s="273"/>
      <c r="C1548" s="98"/>
      <c r="D1548" s="98"/>
      <c r="E1548" s="275"/>
    </row>
    <row r="1549" spans="1:5" ht="15">
      <c r="A1549" s="129"/>
      <c r="B1549" s="273"/>
      <c r="C1549" s="98"/>
      <c r="D1549" s="98"/>
      <c r="E1549" s="275"/>
    </row>
    <row r="1550" spans="1:5" ht="15">
      <c r="A1550" s="129"/>
      <c r="B1550" s="273"/>
      <c r="C1550" s="98"/>
      <c r="D1550" s="98"/>
      <c r="E1550" s="275"/>
    </row>
    <row r="1551" spans="1:5" ht="15">
      <c r="A1551" s="129"/>
      <c r="B1551" s="273"/>
      <c r="C1551" s="98"/>
      <c r="D1551" s="98"/>
      <c r="E1551" s="275"/>
    </row>
    <row r="1552" spans="1:5" ht="15">
      <c r="A1552" s="129"/>
      <c r="B1552" s="273"/>
      <c r="C1552" s="98"/>
      <c r="D1552" s="98"/>
      <c r="E1552" s="275"/>
    </row>
    <row r="1553" spans="1:5" ht="15">
      <c r="A1553" s="129"/>
      <c r="B1553" s="273"/>
      <c r="C1553" s="98"/>
      <c r="D1553" s="98"/>
      <c r="E1553" s="275"/>
    </row>
    <row r="1554" spans="1:5" ht="15">
      <c r="A1554" s="129"/>
      <c r="B1554" s="273"/>
      <c r="C1554" s="98"/>
      <c r="D1554" s="98"/>
      <c r="E1554" s="275"/>
    </row>
    <row r="1555" spans="1:5" ht="15">
      <c r="A1555" s="129"/>
      <c r="B1555" s="273"/>
      <c r="C1555" s="98"/>
      <c r="D1555" s="98"/>
      <c r="E1555" s="275"/>
    </row>
    <row r="1556" spans="1:5" ht="15">
      <c r="A1556" s="129"/>
      <c r="B1556" s="273"/>
      <c r="C1556" s="98"/>
      <c r="D1556" s="98"/>
      <c r="E1556" s="275"/>
    </row>
    <row r="1557" spans="1:5" ht="15">
      <c r="A1557" s="129"/>
      <c r="B1557" s="273"/>
      <c r="C1557" s="98"/>
      <c r="D1557" s="98"/>
      <c r="E1557" s="275"/>
    </row>
    <row r="1558" spans="1:5" ht="15">
      <c r="A1558" s="129"/>
      <c r="B1558" s="273"/>
      <c r="C1558" s="98"/>
      <c r="D1558" s="98"/>
      <c r="E1558" s="275"/>
    </row>
    <row r="1559" spans="1:5" ht="15">
      <c r="A1559" s="129"/>
      <c r="B1559" s="273"/>
      <c r="C1559" s="98"/>
      <c r="D1559" s="98"/>
      <c r="E1559" s="275"/>
    </row>
    <row r="1560" spans="1:5" ht="15">
      <c r="A1560" s="129"/>
      <c r="B1560" s="273"/>
      <c r="C1560" s="98"/>
      <c r="D1560" s="98"/>
      <c r="E1560" s="275"/>
    </row>
    <row r="1561" spans="1:5" ht="15">
      <c r="A1561" s="129"/>
      <c r="B1561" s="273"/>
      <c r="C1561" s="98"/>
      <c r="D1561" s="98"/>
      <c r="E1561" s="275"/>
    </row>
    <row r="1562" spans="1:5" ht="15">
      <c r="A1562" s="129"/>
      <c r="B1562" s="273"/>
      <c r="C1562" s="98"/>
      <c r="D1562" s="98"/>
      <c r="E1562" s="275"/>
    </row>
    <row r="1563" spans="1:5" ht="15">
      <c r="A1563" s="129"/>
      <c r="B1563" s="273"/>
      <c r="C1563" s="98"/>
      <c r="D1563" s="98"/>
      <c r="E1563" s="275"/>
    </row>
    <row r="1564" spans="1:5" ht="15">
      <c r="A1564" s="129"/>
      <c r="B1564" s="273"/>
      <c r="C1564" s="98"/>
      <c r="D1564" s="98"/>
      <c r="E1564" s="275"/>
    </row>
    <row r="1565" spans="1:5" ht="15">
      <c r="A1565" s="129"/>
      <c r="B1565" s="273"/>
      <c r="C1565" s="98"/>
      <c r="D1565" s="98"/>
      <c r="E1565" s="275"/>
    </row>
    <row r="1566" spans="1:5" ht="15">
      <c r="A1566" s="129"/>
      <c r="B1566" s="273"/>
      <c r="C1566" s="98"/>
      <c r="D1566" s="98"/>
      <c r="E1566" s="275"/>
    </row>
    <row r="1567" spans="1:5" ht="15">
      <c r="A1567" s="129"/>
      <c r="B1567" s="273"/>
      <c r="C1567" s="98"/>
      <c r="D1567" s="98"/>
      <c r="E1567" s="275"/>
    </row>
    <row r="1568" spans="1:5" ht="15">
      <c r="A1568" s="129"/>
      <c r="B1568" s="273"/>
      <c r="C1568" s="98"/>
      <c r="D1568" s="98"/>
      <c r="E1568" s="275"/>
    </row>
    <row r="1569" spans="1:5" ht="15">
      <c r="A1569" s="129"/>
      <c r="B1569" s="273"/>
      <c r="C1569" s="98"/>
      <c r="D1569" s="98"/>
      <c r="E1569" s="275"/>
    </row>
    <row r="1570" spans="1:5" ht="15">
      <c r="A1570" s="129"/>
      <c r="B1570" s="273"/>
      <c r="C1570" s="98"/>
      <c r="D1570" s="98"/>
      <c r="E1570" s="275"/>
    </row>
    <row r="1571" spans="1:5" ht="15">
      <c r="A1571" s="129"/>
      <c r="B1571" s="273"/>
      <c r="C1571" s="98"/>
      <c r="D1571" s="98"/>
      <c r="E1571" s="275"/>
    </row>
    <row r="1572" spans="1:5" ht="15">
      <c r="A1572" s="129"/>
      <c r="B1572" s="273"/>
      <c r="C1572" s="98"/>
      <c r="D1572" s="98"/>
      <c r="E1572" s="275"/>
    </row>
    <row r="1573" spans="1:5" ht="15">
      <c r="A1573" s="129"/>
      <c r="B1573" s="273"/>
      <c r="C1573" s="98"/>
      <c r="D1573" s="98"/>
      <c r="E1573" s="275"/>
    </row>
    <row r="1574" spans="1:5" ht="15">
      <c r="A1574" s="129"/>
      <c r="B1574" s="273"/>
      <c r="C1574" s="98"/>
      <c r="D1574" s="98"/>
      <c r="E1574" s="275"/>
    </row>
    <row r="1575" spans="1:5" ht="15">
      <c r="A1575" s="129"/>
      <c r="B1575" s="273"/>
      <c r="C1575" s="98"/>
      <c r="D1575" s="98"/>
      <c r="E1575" s="275"/>
    </row>
    <row r="1576" spans="1:5" ht="15">
      <c r="A1576" s="129"/>
      <c r="B1576" s="273"/>
      <c r="C1576" s="98"/>
      <c r="D1576" s="98"/>
      <c r="E1576" s="275"/>
    </row>
    <row r="1577" spans="1:5" ht="15">
      <c r="A1577" s="129"/>
      <c r="B1577" s="273"/>
      <c r="C1577" s="98"/>
      <c r="D1577" s="98"/>
      <c r="E1577" s="275"/>
    </row>
    <row r="1578" spans="1:5" ht="15">
      <c r="A1578" s="129"/>
      <c r="B1578" s="273"/>
      <c r="C1578" s="98"/>
      <c r="D1578" s="98"/>
      <c r="E1578" s="275"/>
    </row>
    <row r="1579" spans="1:5" ht="15">
      <c r="A1579" s="129"/>
      <c r="B1579" s="273"/>
      <c r="C1579" s="98"/>
      <c r="D1579" s="98"/>
      <c r="E1579" s="275"/>
    </row>
    <row r="1580" spans="1:5" ht="15">
      <c r="A1580" s="129"/>
      <c r="B1580" s="273"/>
      <c r="C1580" s="98"/>
      <c r="D1580" s="98"/>
      <c r="E1580" s="275"/>
    </row>
    <row r="1581" spans="1:5" ht="15">
      <c r="A1581" s="129"/>
      <c r="B1581" s="273"/>
      <c r="C1581" s="98"/>
      <c r="D1581" s="98"/>
      <c r="E1581" s="275"/>
    </row>
    <row r="1582" spans="1:5" ht="15">
      <c r="A1582" s="129"/>
      <c r="B1582" s="273"/>
      <c r="C1582" s="98"/>
      <c r="D1582" s="98"/>
      <c r="E1582" s="275"/>
    </row>
    <row r="1583" spans="1:5" ht="15">
      <c r="A1583" s="129"/>
      <c r="B1583" s="273"/>
      <c r="C1583" s="98"/>
      <c r="D1583" s="98"/>
      <c r="E1583" s="275"/>
    </row>
    <row r="1584" spans="1:5" ht="15">
      <c r="A1584" s="129"/>
      <c r="B1584" s="273"/>
      <c r="C1584" s="98"/>
      <c r="D1584" s="98"/>
      <c r="E1584" s="275"/>
    </row>
    <row r="1585" spans="1:5" ht="15">
      <c r="A1585" s="129"/>
      <c r="B1585" s="273"/>
      <c r="C1585" s="98"/>
      <c r="D1585" s="98"/>
      <c r="E1585" s="275"/>
    </row>
    <row r="1586" spans="1:5" ht="15">
      <c r="A1586" s="129"/>
      <c r="B1586" s="273"/>
      <c r="C1586" s="98"/>
      <c r="D1586" s="98"/>
      <c r="E1586" s="275"/>
    </row>
    <row r="1587" spans="1:5" ht="15">
      <c r="A1587" s="129"/>
      <c r="B1587" s="273"/>
      <c r="C1587" s="98"/>
      <c r="D1587" s="98"/>
      <c r="E1587" s="275"/>
    </row>
    <row r="1588" spans="1:5" ht="15">
      <c r="A1588" s="129"/>
      <c r="B1588" s="273"/>
      <c r="C1588" s="98"/>
      <c r="D1588" s="98"/>
      <c r="E1588" s="275"/>
    </row>
    <row r="1589" spans="1:5" ht="15">
      <c r="A1589" s="129"/>
      <c r="B1589" s="273"/>
      <c r="C1589" s="98"/>
      <c r="D1589" s="98"/>
      <c r="E1589" s="275"/>
    </row>
    <row r="1590" spans="1:5" ht="15">
      <c r="A1590" s="129"/>
      <c r="B1590" s="273"/>
      <c r="C1590" s="98"/>
      <c r="D1590" s="98"/>
      <c r="E1590" s="275"/>
    </row>
    <row r="1591" spans="1:5" ht="15">
      <c r="A1591" s="129"/>
      <c r="B1591" s="273"/>
      <c r="C1591" s="98"/>
      <c r="D1591" s="98"/>
      <c r="E1591" s="275"/>
    </row>
    <row r="1592" spans="1:5" ht="15">
      <c r="A1592" s="129"/>
      <c r="B1592" s="273"/>
      <c r="C1592" s="98"/>
      <c r="D1592" s="98"/>
      <c r="E1592" s="275"/>
    </row>
    <row r="1593" spans="1:5" ht="15">
      <c r="A1593" s="129"/>
      <c r="B1593" s="273"/>
      <c r="C1593" s="98"/>
      <c r="D1593" s="98"/>
      <c r="E1593" s="275"/>
    </row>
    <row r="1594" spans="1:5" ht="15">
      <c r="A1594" s="129"/>
      <c r="B1594" s="273"/>
      <c r="C1594" s="98"/>
      <c r="D1594" s="98"/>
      <c r="E1594" s="275"/>
    </row>
    <row r="1595" spans="1:5" ht="15">
      <c r="A1595" s="129"/>
      <c r="B1595" s="273"/>
      <c r="C1595" s="98"/>
      <c r="D1595" s="98"/>
      <c r="E1595" s="275"/>
    </row>
    <row r="1596" spans="1:5" ht="15">
      <c r="A1596" s="129"/>
      <c r="B1596" s="273"/>
      <c r="C1596" s="98"/>
      <c r="D1596" s="98"/>
      <c r="E1596" s="275"/>
    </row>
    <row r="1597" spans="1:5" ht="15">
      <c r="A1597" s="129"/>
      <c r="B1597" s="273"/>
      <c r="C1597" s="98"/>
      <c r="D1597" s="98"/>
      <c r="E1597" s="275"/>
    </row>
    <row r="1598" spans="1:5" ht="15">
      <c r="A1598" s="129"/>
      <c r="B1598" s="273"/>
      <c r="C1598" s="98"/>
      <c r="D1598" s="98"/>
      <c r="E1598" s="275"/>
    </row>
    <row r="1599" spans="1:5" ht="15">
      <c r="A1599" s="129"/>
      <c r="B1599" s="273"/>
      <c r="C1599" s="98"/>
      <c r="D1599" s="98"/>
      <c r="E1599" s="275"/>
    </row>
    <row r="1600" spans="1:5" ht="15">
      <c r="A1600" s="129"/>
      <c r="B1600" s="273"/>
      <c r="C1600" s="98"/>
      <c r="D1600" s="98"/>
      <c r="E1600" s="275"/>
    </row>
    <row r="1601" spans="1:5" ht="15">
      <c r="A1601" s="129"/>
      <c r="B1601" s="273"/>
      <c r="C1601" s="98"/>
      <c r="D1601" s="98"/>
      <c r="E1601" s="275"/>
    </row>
    <row r="1602" spans="1:5" ht="15">
      <c r="A1602" s="129"/>
      <c r="B1602" s="273"/>
      <c r="C1602" s="98"/>
      <c r="D1602" s="98"/>
      <c r="E1602" s="275"/>
    </row>
    <row r="1603" spans="1:5" ht="15">
      <c r="A1603" s="129"/>
      <c r="B1603" s="273"/>
      <c r="C1603" s="98"/>
      <c r="D1603" s="98"/>
      <c r="E1603" s="275"/>
    </row>
    <row r="1604" spans="1:5" ht="15">
      <c r="A1604" s="129"/>
      <c r="B1604" s="273"/>
      <c r="C1604" s="98"/>
      <c r="D1604" s="98"/>
      <c r="E1604" s="275"/>
    </row>
    <row r="1605" spans="1:5" ht="15">
      <c r="A1605" s="129"/>
      <c r="B1605" s="273"/>
      <c r="C1605" s="98"/>
      <c r="D1605" s="98"/>
      <c r="E1605" s="275"/>
    </row>
    <row r="1606" spans="1:5" ht="15">
      <c r="A1606" s="129"/>
      <c r="B1606" s="273"/>
      <c r="C1606" s="98"/>
      <c r="D1606" s="98"/>
      <c r="E1606" s="275"/>
    </row>
    <row r="1607" spans="1:5" ht="15">
      <c r="A1607" s="129"/>
      <c r="B1607" s="273"/>
      <c r="C1607" s="98"/>
      <c r="D1607" s="98"/>
      <c r="E1607" s="275"/>
    </row>
    <row r="1608" spans="1:5" ht="15">
      <c r="A1608" s="129"/>
      <c r="B1608" s="273"/>
      <c r="C1608" s="98"/>
      <c r="D1608" s="98"/>
      <c r="E1608" s="275"/>
    </row>
    <row r="1609" spans="1:5" ht="15">
      <c r="A1609" s="129"/>
      <c r="B1609" s="273"/>
      <c r="C1609" s="98"/>
      <c r="D1609" s="98"/>
      <c r="E1609" s="275"/>
    </row>
    <row r="1610" spans="1:5" ht="15">
      <c r="A1610" s="129"/>
      <c r="B1610" s="273"/>
      <c r="C1610" s="98"/>
      <c r="D1610" s="98"/>
      <c r="E1610" s="275"/>
    </row>
    <row r="1611" spans="1:5" ht="15">
      <c r="A1611" s="129"/>
      <c r="B1611" s="273"/>
      <c r="C1611" s="98"/>
      <c r="D1611" s="98"/>
      <c r="E1611" s="275"/>
    </row>
    <row r="1612" spans="1:5" ht="15">
      <c r="A1612" s="129"/>
      <c r="B1612" s="273"/>
      <c r="C1612" s="98"/>
      <c r="D1612" s="98"/>
      <c r="E1612" s="275"/>
    </row>
    <row r="1613" spans="1:5" ht="15">
      <c r="A1613" s="129"/>
      <c r="B1613" s="273"/>
      <c r="C1613" s="98"/>
      <c r="D1613" s="98"/>
      <c r="E1613" s="275"/>
    </row>
    <row r="1614" spans="1:5" ht="15">
      <c r="A1614" s="129"/>
      <c r="B1614" s="273"/>
      <c r="C1614" s="98"/>
      <c r="D1614" s="98"/>
      <c r="E1614" s="275"/>
    </row>
    <row r="1615" spans="1:5" ht="15">
      <c r="A1615" s="129"/>
      <c r="B1615" s="273"/>
      <c r="C1615" s="98"/>
      <c r="D1615" s="98"/>
      <c r="E1615" s="275"/>
    </row>
    <row r="1616" spans="1:5" ht="15">
      <c r="A1616" s="129"/>
      <c r="B1616" s="273"/>
      <c r="C1616" s="98"/>
      <c r="D1616" s="98"/>
      <c r="E1616" s="275"/>
    </row>
    <row r="1617" spans="1:5" ht="15">
      <c r="A1617" s="129"/>
      <c r="B1617" s="273"/>
      <c r="C1617" s="98"/>
      <c r="D1617" s="98"/>
      <c r="E1617" s="275"/>
    </row>
    <row r="1618" spans="1:5" ht="15">
      <c r="A1618" s="129"/>
      <c r="B1618" s="273"/>
      <c r="C1618" s="98"/>
      <c r="D1618" s="98"/>
      <c r="E1618" s="275"/>
    </row>
    <row r="1619" spans="1:5" ht="15">
      <c r="A1619" s="129"/>
      <c r="B1619" s="273"/>
      <c r="C1619" s="98"/>
      <c r="D1619" s="98"/>
      <c r="E1619" s="275"/>
    </row>
    <row r="1620" spans="1:5" ht="15">
      <c r="A1620" s="129"/>
      <c r="B1620" s="273"/>
      <c r="C1620" s="98"/>
      <c r="D1620" s="98"/>
      <c r="E1620" s="275"/>
    </row>
    <row r="1621" spans="1:5" ht="15">
      <c r="A1621" s="129"/>
      <c r="B1621" s="273"/>
      <c r="C1621" s="98"/>
      <c r="D1621" s="98"/>
      <c r="E1621" s="275"/>
    </row>
    <row r="1622" spans="1:5" ht="15">
      <c r="A1622" s="129"/>
      <c r="B1622" s="273"/>
      <c r="C1622" s="98"/>
      <c r="D1622" s="98"/>
      <c r="E1622" s="275"/>
    </row>
    <row r="1623" spans="1:5" ht="15">
      <c r="A1623" s="129"/>
      <c r="B1623" s="273"/>
      <c r="C1623" s="98"/>
      <c r="D1623" s="98"/>
      <c r="E1623" s="275"/>
    </row>
    <row r="1624" spans="1:5" ht="15">
      <c r="A1624" s="129"/>
      <c r="B1624" s="273"/>
      <c r="C1624" s="98"/>
      <c r="D1624" s="98"/>
      <c r="E1624" s="275"/>
    </row>
    <row r="1625" spans="1:5" ht="15">
      <c r="A1625" s="129"/>
      <c r="B1625" s="273"/>
      <c r="C1625" s="98"/>
      <c r="D1625" s="98"/>
      <c r="E1625" s="275"/>
    </row>
    <row r="1626" spans="1:5" ht="15">
      <c r="A1626" s="129"/>
      <c r="B1626" s="273"/>
      <c r="C1626" s="98"/>
      <c r="D1626" s="98"/>
      <c r="E1626" s="275"/>
    </row>
    <row r="1627" spans="1:5" ht="15">
      <c r="A1627" s="129"/>
      <c r="B1627" s="273"/>
      <c r="C1627" s="98"/>
      <c r="D1627" s="98"/>
      <c r="E1627" s="275"/>
    </row>
    <row r="1628" spans="1:5" ht="15">
      <c r="A1628" s="129"/>
      <c r="B1628" s="273"/>
      <c r="C1628" s="98"/>
      <c r="D1628" s="98"/>
      <c r="E1628" s="275"/>
    </row>
    <row r="1629" spans="1:5" ht="15">
      <c r="A1629" s="129"/>
      <c r="B1629" s="273"/>
      <c r="C1629" s="98"/>
      <c r="D1629" s="98"/>
      <c r="E1629" s="275"/>
    </row>
    <row r="1630" spans="1:5" ht="15">
      <c r="A1630" s="129"/>
      <c r="B1630" s="273"/>
      <c r="C1630" s="98"/>
      <c r="D1630" s="98"/>
      <c r="E1630" s="275"/>
    </row>
    <row r="1631" spans="1:5" ht="15">
      <c r="A1631" s="129"/>
      <c r="B1631" s="273"/>
      <c r="C1631" s="98"/>
      <c r="D1631" s="98"/>
      <c r="E1631" s="275"/>
    </row>
    <row r="1632" spans="1:5" ht="15">
      <c r="A1632" s="129"/>
      <c r="B1632" s="273"/>
      <c r="C1632" s="98"/>
      <c r="D1632" s="98"/>
      <c r="E1632" s="275"/>
    </row>
    <row r="1633" spans="1:5" ht="15">
      <c r="A1633" s="129"/>
      <c r="B1633" s="273"/>
      <c r="C1633" s="98"/>
      <c r="D1633" s="98"/>
      <c r="E1633" s="275"/>
    </row>
    <row r="1634" spans="1:5" ht="15">
      <c r="A1634" s="129"/>
      <c r="B1634" s="273"/>
      <c r="C1634" s="98"/>
      <c r="D1634" s="98"/>
      <c r="E1634" s="275"/>
    </row>
    <row r="1635" spans="1:5" ht="15">
      <c r="A1635" s="129"/>
      <c r="B1635" s="273"/>
      <c r="C1635" s="98"/>
      <c r="D1635" s="98"/>
      <c r="E1635" s="275"/>
    </row>
    <row r="1636" spans="1:5" ht="15">
      <c r="A1636" s="129"/>
      <c r="B1636" s="273"/>
      <c r="C1636" s="98"/>
      <c r="D1636" s="98"/>
      <c r="E1636" s="275"/>
    </row>
    <row r="1637" spans="1:5" ht="15">
      <c r="A1637" s="129"/>
      <c r="B1637" s="273"/>
      <c r="C1637" s="98"/>
      <c r="D1637" s="98"/>
      <c r="E1637" s="275"/>
    </row>
    <row r="1638" spans="1:5" ht="15">
      <c r="A1638" s="129"/>
      <c r="B1638" s="273"/>
      <c r="C1638" s="98"/>
      <c r="D1638" s="98"/>
      <c r="E1638" s="275"/>
    </row>
    <row r="1639" spans="1:5" ht="15">
      <c r="A1639" s="129"/>
      <c r="B1639" s="273"/>
      <c r="C1639" s="98"/>
      <c r="D1639" s="98"/>
      <c r="E1639" s="275"/>
    </row>
    <row r="1640" spans="1:5" ht="15">
      <c r="A1640" s="129"/>
      <c r="B1640" s="273"/>
      <c r="C1640" s="98"/>
      <c r="D1640" s="98"/>
      <c r="E1640" s="275"/>
    </row>
    <row r="1641" spans="1:5" ht="15">
      <c r="A1641" s="129"/>
      <c r="B1641" s="273"/>
      <c r="C1641" s="98"/>
      <c r="D1641" s="98"/>
      <c r="E1641" s="275"/>
    </row>
    <row r="1642" spans="1:5" ht="15">
      <c r="A1642" s="129"/>
      <c r="B1642" s="273"/>
      <c r="C1642" s="98"/>
      <c r="D1642" s="98"/>
      <c r="E1642" s="275"/>
    </row>
    <row r="1643" spans="1:5" ht="15">
      <c r="A1643" s="129"/>
      <c r="B1643" s="273"/>
      <c r="C1643" s="98"/>
      <c r="D1643" s="98"/>
      <c r="E1643" s="275"/>
    </row>
    <row r="1644" spans="1:5" ht="15">
      <c r="A1644" s="129"/>
      <c r="B1644" s="273"/>
      <c r="C1644" s="98"/>
      <c r="D1644" s="98"/>
      <c r="E1644" s="275"/>
    </row>
    <row r="1645" spans="1:5" ht="15">
      <c r="A1645" s="129"/>
      <c r="B1645" s="273"/>
      <c r="C1645" s="98"/>
      <c r="D1645" s="98"/>
      <c r="E1645" s="275"/>
    </row>
    <row r="1646" spans="1:5" ht="15">
      <c r="A1646" s="129"/>
      <c r="B1646" s="273"/>
      <c r="C1646" s="98"/>
      <c r="D1646" s="98"/>
      <c r="E1646" s="275"/>
    </row>
    <row r="1647" spans="1:5" ht="15">
      <c r="A1647" s="129"/>
      <c r="B1647" s="273"/>
      <c r="C1647" s="98"/>
      <c r="D1647" s="98"/>
      <c r="E1647" s="275"/>
    </row>
    <row r="1648" spans="1:5" ht="15">
      <c r="A1648" s="129"/>
      <c r="B1648" s="273"/>
      <c r="C1648" s="98"/>
      <c r="D1648" s="98"/>
      <c r="E1648" s="275"/>
    </row>
    <row r="1649" spans="1:5" ht="15">
      <c r="A1649" s="129"/>
      <c r="B1649" s="273"/>
      <c r="C1649" s="98"/>
      <c r="D1649" s="98"/>
      <c r="E1649" s="275"/>
    </row>
    <row r="1650" spans="1:5" ht="15">
      <c r="A1650" s="129"/>
      <c r="B1650" s="273"/>
      <c r="C1650" s="98"/>
      <c r="D1650" s="98"/>
      <c r="E1650" s="275"/>
    </row>
    <row r="1651" spans="1:5" ht="15">
      <c r="A1651" s="129"/>
      <c r="B1651" s="273"/>
      <c r="C1651" s="98"/>
      <c r="D1651" s="98"/>
      <c r="E1651" s="275"/>
    </row>
    <row r="1652" spans="1:5" ht="15">
      <c r="A1652" s="129"/>
      <c r="B1652" s="273"/>
      <c r="C1652" s="98"/>
      <c r="D1652" s="98"/>
      <c r="E1652" s="275"/>
    </row>
    <row r="1653" spans="1:5" ht="15">
      <c r="A1653" s="129"/>
      <c r="B1653" s="273"/>
      <c r="C1653" s="98"/>
      <c r="D1653" s="98"/>
      <c r="E1653" s="275"/>
    </row>
    <row r="1654" spans="1:5" ht="15">
      <c r="A1654" s="129"/>
      <c r="B1654" s="273"/>
      <c r="C1654" s="98"/>
      <c r="D1654" s="98"/>
      <c r="E1654" s="275"/>
    </row>
    <row r="1655" spans="1:5" ht="15">
      <c r="A1655" s="129"/>
      <c r="B1655" s="273"/>
      <c r="C1655" s="98"/>
      <c r="D1655" s="98"/>
      <c r="E1655" s="275"/>
    </row>
    <row r="1656" spans="1:5" ht="15">
      <c r="A1656" s="129"/>
      <c r="B1656" s="273"/>
      <c r="C1656" s="98"/>
      <c r="D1656" s="98"/>
      <c r="E1656" s="275"/>
    </row>
    <row r="1657" spans="1:5" ht="15">
      <c r="A1657" s="129"/>
      <c r="B1657" s="273"/>
      <c r="C1657" s="98"/>
      <c r="D1657" s="98"/>
      <c r="E1657" s="275"/>
    </row>
    <row r="1658" spans="1:5" ht="15">
      <c r="A1658" s="129"/>
      <c r="B1658" s="273"/>
      <c r="C1658" s="98"/>
      <c r="D1658" s="98"/>
      <c r="E1658" s="275"/>
    </row>
    <row r="1659" spans="1:5" ht="15">
      <c r="A1659" s="129"/>
      <c r="B1659" s="273"/>
      <c r="C1659" s="98"/>
      <c r="D1659" s="98"/>
      <c r="E1659" s="275"/>
    </row>
    <row r="1660" spans="1:5" ht="15">
      <c r="A1660" s="129"/>
      <c r="B1660" s="273"/>
      <c r="C1660" s="98"/>
      <c r="D1660" s="98"/>
      <c r="E1660" s="275"/>
    </row>
    <row r="1661" spans="1:5" ht="15">
      <c r="A1661" s="129"/>
      <c r="B1661" s="273"/>
      <c r="C1661" s="98"/>
      <c r="D1661" s="98"/>
      <c r="E1661" s="275"/>
    </row>
    <row r="1662" spans="1:5" ht="15">
      <c r="A1662" s="129"/>
      <c r="B1662" s="273"/>
      <c r="C1662" s="98"/>
      <c r="D1662" s="98"/>
      <c r="E1662" s="275"/>
    </row>
    <row r="1663" spans="1:5" ht="15">
      <c r="A1663" s="129"/>
      <c r="B1663" s="273"/>
      <c r="C1663" s="98"/>
      <c r="D1663" s="98"/>
      <c r="E1663" s="275"/>
    </row>
    <row r="1664" spans="1:5" ht="15">
      <c r="A1664" s="129"/>
      <c r="B1664" s="273"/>
      <c r="C1664" s="98"/>
      <c r="D1664" s="98"/>
      <c r="E1664" s="275"/>
    </row>
    <row r="1665" spans="1:5" ht="15">
      <c r="A1665" s="129"/>
      <c r="B1665" s="273"/>
      <c r="C1665" s="98"/>
      <c r="D1665" s="98"/>
      <c r="E1665" s="275"/>
    </row>
    <row r="1666" spans="1:5" ht="15">
      <c r="A1666" s="129"/>
      <c r="B1666" s="273"/>
      <c r="C1666" s="98"/>
      <c r="D1666" s="98"/>
      <c r="E1666" s="275"/>
    </row>
    <row r="1667" spans="1:5" ht="15">
      <c r="A1667" s="129"/>
      <c r="B1667" s="273"/>
      <c r="C1667" s="98"/>
      <c r="D1667" s="98"/>
      <c r="E1667" s="275"/>
    </row>
    <row r="1668" spans="1:5" ht="15">
      <c r="A1668" s="129"/>
      <c r="B1668" s="273"/>
      <c r="C1668" s="98"/>
      <c r="D1668" s="98"/>
      <c r="E1668" s="275"/>
    </row>
    <row r="1669" spans="1:5" ht="15">
      <c r="A1669" s="129"/>
      <c r="B1669" s="273"/>
      <c r="C1669" s="98"/>
      <c r="D1669" s="98"/>
      <c r="E1669" s="275"/>
    </row>
    <row r="1670" spans="1:5" ht="15">
      <c r="A1670" s="129"/>
      <c r="B1670" s="273"/>
      <c r="C1670" s="98"/>
      <c r="D1670" s="98"/>
      <c r="E1670" s="275"/>
    </row>
    <row r="1671" spans="1:5" ht="15">
      <c r="A1671" s="129"/>
      <c r="B1671" s="273"/>
      <c r="C1671" s="98"/>
      <c r="D1671" s="98"/>
      <c r="E1671" s="275"/>
    </row>
    <row r="1672" spans="1:5" ht="15">
      <c r="A1672" s="129"/>
      <c r="B1672" s="273"/>
      <c r="C1672" s="98"/>
      <c r="D1672" s="98"/>
      <c r="E1672" s="275"/>
    </row>
    <row r="1673" spans="1:5" ht="15">
      <c r="A1673" s="129"/>
      <c r="B1673" s="273"/>
      <c r="C1673" s="98"/>
      <c r="D1673" s="98"/>
      <c r="E1673" s="275"/>
    </row>
    <row r="1674" spans="1:5" ht="15">
      <c r="A1674" s="129"/>
      <c r="B1674" s="273"/>
      <c r="C1674" s="98"/>
      <c r="D1674" s="98"/>
      <c r="E1674" s="275"/>
    </row>
    <row r="1675" spans="1:5" ht="15">
      <c r="A1675" s="129"/>
      <c r="B1675" s="273"/>
      <c r="C1675" s="98"/>
      <c r="D1675" s="98"/>
      <c r="E1675" s="275"/>
    </row>
    <row r="1676" spans="1:5" ht="15">
      <c r="A1676" s="129"/>
      <c r="B1676" s="273"/>
      <c r="C1676" s="98"/>
      <c r="D1676" s="98"/>
      <c r="E1676" s="275"/>
    </row>
    <row r="1677" spans="1:5" ht="15">
      <c r="A1677" s="129"/>
      <c r="B1677" s="273"/>
      <c r="C1677" s="98"/>
      <c r="D1677" s="98"/>
      <c r="E1677" s="275"/>
    </row>
    <row r="1678" spans="1:5" ht="15">
      <c r="A1678" s="129"/>
      <c r="B1678" s="273"/>
      <c r="C1678" s="98"/>
      <c r="D1678" s="98"/>
      <c r="E1678" s="275"/>
    </row>
    <row r="1679" spans="1:5" ht="15">
      <c r="A1679" s="129"/>
      <c r="B1679" s="273"/>
      <c r="C1679" s="98"/>
      <c r="D1679" s="98"/>
      <c r="E1679" s="275"/>
    </row>
    <row r="1680" spans="1:5" ht="15">
      <c r="A1680" s="129"/>
      <c r="B1680" s="273"/>
      <c r="C1680" s="98"/>
      <c r="D1680" s="98"/>
      <c r="E1680" s="275"/>
    </row>
    <row r="1681" spans="1:5" ht="15">
      <c r="A1681" s="129"/>
      <c r="B1681" s="273"/>
      <c r="C1681" s="98"/>
      <c r="D1681" s="98"/>
      <c r="E1681" s="275"/>
    </row>
    <row r="1682" spans="1:5" ht="15">
      <c r="A1682" s="129"/>
      <c r="B1682" s="273"/>
      <c r="C1682" s="98"/>
      <c r="D1682" s="98"/>
      <c r="E1682" s="275"/>
    </row>
    <row r="1683" spans="1:5" ht="15">
      <c r="A1683" s="129"/>
      <c r="B1683" s="273"/>
      <c r="C1683" s="98"/>
      <c r="D1683" s="98"/>
      <c r="E1683" s="275"/>
    </row>
    <row r="1684" spans="1:5" ht="15">
      <c r="A1684" s="129"/>
      <c r="B1684" s="273"/>
      <c r="C1684" s="98"/>
      <c r="D1684" s="98"/>
      <c r="E1684" s="275"/>
    </row>
    <row r="1685" spans="1:5" ht="15">
      <c r="A1685" s="129"/>
      <c r="B1685" s="273"/>
      <c r="C1685" s="98"/>
      <c r="D1685" s="98"/>
      <c r="E1685" s="275"/>
    </row>
    <row r="1686" spans="1:5" ht="15">
      <c r="A1686" s="129"/>
      <c r="B1686" s="273"/>
      <c r="C1686" s="98"/>
      <c r="D1686" s="98"/>
      <c r="E1686" s="275"/>
    </row>
    <row r="1687" spans="1:5" ht="15">
      <c r="A1687" s="129"/>
      <c r="B1687" s="273"/>
      <c r="C1687" s="98"/>
      <c r="D1687" s="98"/>
      <c r="E1687" s="275"/>
    </row>
    <row r="1688" spans="1:5" ht="15">
      <c r="A1688" s="129"/>
      <c r="B1688" s="273"/>
      <c r="C1688" s="98"/>
      <c r="D1688" s="98"/>
      <c r="E1688" s="275"/>
    </row>
    <row r="1689" spans="1:5" ht="15">
      <c r="A1689" s="129"/>
      <c r="B1689" s="273"/>
      <c r="C1689" s="98"/>
      <c r="D1689" s="98"/>
      <c r="E1689" s="275"/>
    </row>
    <row r="1690" spans="1:5" ht="15">
      <c r="A1690" s="129"/>
      <c r="B1690" s="273"/>
      <c r="C1690" s="98"/>
      <c r="D1690" s="98"/>
      <c r="E1690" s="275"/>
    </row>
    <row r="1691" spans="1:5" ht="15">
      <c r="A1691" s="129"/>
      <c r="B1691" s="273"/>
      <c r="C1691" s="98"/>
      <c r="D1691" s="98"/>
      <c r="E1691" s="275"/>
    </row>
    <row r="1692" spans="1:5" ht="15">
      <c r="A1692" s="129"/>
      <c r="B1692" s="273"/>
      <c r="C1692" s="98"/>
      <c r="D1692" s="98"/>
      <c r="E1692" s="275"/>
    </row>
    <row r="1693" spans="1:5" ht="15">
      <c r="A1693" s="129"/>
      <c r="B1693" s="273"/>
      <c r="C1693" s="98"/>
      <c r="D1693" s="98"/>
      <c r="E1693" s="275"/>
    </row>
    <row r="1694" spans="1:5" ht="15">
      <c r="A1694" s="129"/>
      <c r="B1694" s="273"/>
      <c r="C1694" s="98"/>
      <c r="D1694" s="98"/>
      <c r="E1694" s="275"/>
    </row>
    <row r="1695" spans="1:5" ht="15">
      <c r="A1695" s="129"/>
      <c r="B1695" s="273"/>
      <c r="C1695" s="98"/>
      <c r="D1695" s="98"/>
      <c r="E1695" s="275"/>
    </row>
    <row r="1696" spans="1:5" ht="15">
      <c r="A1696" s="129"/>
      <c r="B1696" s="273"/>
      <c r="C1696" s="98"/>
      <c r="D1696" s="98"/>
      <c r="E1696" s="275"/>
    </row>
    <row r="1697" spans="1:5" ht="15">
      <c r="A1697" s="129"/>
      <c r="B1697" s="273"/>
      <c r="C1697" s="98"/>
      <c r="D1697" s="98"/>
      <c r="E1697" s="275"/>
    </row>
    <row r="1698" spans="1:5" ht="15">
      <c r="A1698" s="129"/>
      <c r="B1698" s="273"/>
      <c r="C1698" s="98"/>
      <c r="D1698" s="98"/>
      <c r="E1698" s="275"/>
    </row>
    <row r="1699" spans="1:5" ht="15">
      <c r="A1699" s="129"/>
      <c r="B1699" s="273"/>
      <c r="C1699" s="98"/>
      <c r="D1699" s="98"/>
      <c r="E1699" s="275"/>
    </row>
    <row r="1700" spans="1:5" ht="15">
      <c r="A1700" s="129"/>
      <c r="B1700" s="273"/>
      <c r="C1700" s="98"/>
      <c r="D1700" s="98"/>
      <c r="E1700" s="275"/>
    </row>
    <row r="1701" spans="1:5" ht="15">
      <c r="A1701" s="129"/>
      <c r="B1701" s="273"/>
      <c r="C1701" s="98"/>
      <c r="D1701" s="98"/>
      <c r="E1701" s="275"/>
    </row>
    <row r="1702" spans="1:5" ht="15">
      <c r="A1702" s="129"/>
      <c r="B1702" s="273"/>
      <c r="C1702" s="98"/>
      <c r="D1702" s="98"/>
      <c r="E1702" s="275"/>
    </row>
    <row r="1703" spans="1:5" ht="15">
      <c r="A1703" s="129"/>
      <c r="B1703" s="273"/>
      <c r="C1703" s="98"/>
      <c r="D1703" s="98"/>
      <c r="E1703" s="275"/>
    </row>
    <row r="1704" spans="1:5" ht="15">
      <c r="A1704" s="129"/>
      <c r="B1704" s="273"/>
      <c r="C1704" s="98"/>
      <c r="D1704" s="98"/>
      <c r="E1704" s="275"/>
    </row>
    <row r="1705" spans="1:5" ht="15">
      <c r="A1705" s="129"/>
      <c r="B1705" s="273"/>
      <c r="C1705" s="98"/>
      <c r="D1705" s="98"/>
      <c r="E1705" s="275"/>
    </row>
    <row r="1706" spans="1:5" ht="15">
      <c r="A1706" s="129"/>
      <c r="B1706" s="273"/>
      <c r="C1706" s="98"/>
      <c r="D1706" s="98"/>
      <c r="E1706" s="275"/>
    </row>
    <row r="1707" spans="1:5" ht="15">
      <c r="A1707" s="129"/>
      <c r="B1707" s="273"/>
      <c r="C1707" s="98"/>
      <c r="D1707" s="98"/>
      <c r="E1707" s="275"/>
    </row>
    <row r="1708" spans="1:5" ht="15">
      <c r="A1708" s="129"/>
      <c r="B1708" s="273"/>
      <c r="C1708" s="98"/>
      <c r="D1708" s="98"/>
      <c r="E1708" s="275"/>
    </row>
    <row r="1709" spans="1:5" ht="15">
      <c r="A1709" s="129"/>
      <c r="B1709" s="273"/>
      <c r="C1709" s="98"/>
      <c r="D1709" s="98"/>
      <c r="E1709" s="275"/>
    </row>
    <row r="1710" spans="1:5" ht="15">
      <c r="A1710" s="129"/>
      <c r="B1710" s="273"/>
      <c r="C1710" s="98"/>
      <c r="D1710" s="98"/>
      <c r="E1710" s="275"/>
    </row>
    <row r="1711" spans="1:5" ht="15">
      <c r="A1711" s="129"/>
      <c r="B1711" s="273"/>
      <c r="C1711" s="98"/>
      <c r="D1711" s="98"/>
      <c r="E1711" s="275"/>
    </row>
    <row r="1712" spans="1:5" ht="15">
      <c r="A1712" s="129"/>
      <c r="B1712" s="273"/>
      <c r="C1712" s="98"/>
      <c r="D1712" s="98"/>
      <c r="E1712" s="275"/>
    </row>
    <row r="1713" spans="1:5" ht="15">
      <c r="A1713" s="129"/>
      <c r="B1713" s="273"/>
      <c r="C1713" s="98"/>
      <c r="D1713" s="98"/>
      <c r="E1713" s="275"/>
    </row>
    <row r="1714" spans="1:5" ht="15">
      <c r="A1714" s="129"/>
      <c r="B1714" s="273"/>
      <c r="C1714" s="98"/>
      <c r="D1714" s="98"/>
      <c r="E1714" s="275"/>
    </row>
    <row r="1715" spans="1:5" ht="15">
      <c r="A1715" s="129"/>
      <c r="B1715" s="273"/>
      <c r="C1715" s="98"/>
      <c r="D1715" s="98"/>
      <c r="E1715" s="275"/>
    </row>
    <row r="1716" spans="1:5" ht="15">
      <c r="A1716" s="129"/>
      <c r="B1716" s="273"/>
      <c r="C1716" s="98"/>
      <c r="D1716" s="98"/>
      <c r="E1716" s="275"/>
    </row>
    <row r="1717" spans="1:5" ht="15">
      <c r="A1717" s="129"/>
      <c r="B1717" s="273"/>
      <c r="C1717" s="98"/>
      <c r="D1717" s="98"/>
      <c r="E1717" s="275"/>
    </row>
    <row r="1718" spans="1:5" ht="15">
      <c r="A1718" s="129"/>
      <c r="B1718" s="273"/>
      <c r="C1718" s="98"/>
      <c r="D1718" s="98"/>
      <c r="E1718" s="275"/>
    </row>
    <row r="1719" spans="1:5" ht="15">
      <c r="A1719" s="129"/>
      <c r="B1719" s="273"/>
      <c r="C1719" s="98"/>
      <c r="D1719" s="98"/>
      <c r="E1719" s="275"/>
    </row>
    <row r="1720" spans="1:5" ht="15">
      <c r="A1720" s="129"/>
      <c r="B1720" s="273"/>
      <c r="C1720" s="98"/>
      <c r="D1720" s="98"/>
      <c r="E1720" s="275"/>
    </row>
    <row r="1721" spans="1:5" ht="15">
      <c r="A1721" s="129"/>
      <c r="B1721" s="273"/>
      <c r="C1721" s="98"/>
      <c r="D1721" s="98"/>
      <c r="E1721" s="275"/>
    </row>
    <row r="1722" spans="1:5" ht="15">
      <c r="A1722" s="129"/>
      <c r="B1722" s="273"/>
      <c r="C1722" s="98"/>
      <c r="D1722" s="98"/>
      <c r="E1722" s="275"/>
    </row>
    <row r="1723" spans="1:5" ht="15">
      <c r="A1723" s="129"/>
      <c r="B1723" s="273"/>
      <c r="C1723" s="98"/>
      <c r="D1723" s="98"/>
      <c r="E1723" s="275"/>
    </row>
    <row r="1724" spans="1:5" ht="15">
      <c r="A1724" s="129"/>
      <c r="B1724" s="273"/>
      <c r="C1724" s="98"/>
      <c r="D1724" s="98"/>
      <c r="E1724" s="275"/>
    </row>
    <row r="1725" spans="1:5" ht="15">
      <c r="A1725" s="129"/>
      <c r="B1725" s="273"/>
      <c r="C1725" s="98"/>
      <c r="D1725" s="98"/>
      <c r="E1725" s="275"/>
    </row>
    <row r="1726" spans="1:5" ht="15">
      <c r="A1726" s="129"/>
      <c r="B1726" s="273"/>
      <c r="C1726" s="98"/>
      <c r="D1726" s="98"/>
      <c r="E1726" s="275"/>
    </row>
    <row r="1727" spans="1:5" ht="15">
      <c r="A1727" s="129"/>
      <c r="B1727" s="273"/>
      <c r="C1727" s="98"/>
      <c r="D1727" s="98"/>
      <c r="E1727" s="275"/>
    </row>
    <row r="1728" spans="1:5" ht="15">
      <c r="A1728" s="129"/>
      <c r="B1728" s="273"/>
      <c r="C1728" s="98"/>
      <c r="D1728" s="98"/>
      <c r="E1728" s="275"/>
    </row>
    <row r="1729" spans="1:5" ht="15">
      <c r="A1729" s="129"/>
      <c r="B1729" s="273"/>
      <c r="C1729" s="98"/>
      <c r="D1729" s="98"/>
      <c r="E1729" s="275"/>
    </row>
    <row r="1730" spans="1:5" ht="15">
      <c r="A1730" s="129"/>
      <c r="B1730" s="273"/>
      <c r="C1730" s="98"/>
      <c r="D1730" s="98"/>
      <c r="E1730" s="275"/>
    </row>
    <row r="1731" spans="1:5" ht="15">
      <c r="A1731" s="129"/>
      <c r="B1731" s="273"/>
      <c r="C1731" s="98"/>
      <c r="D1731" s="98"/>
      <c r="E1731" s="275"/>
    </row>
    <row r="1732" spans="1:5" ht="15">
      <c r="A1732" s="129"/>
      <c r="B1732" s="273"/>
      <c r="C1732" s="98"/>
      <c r="D1732" s="98"/>
      <c r="E1732" s="275"/>
    </row>
    <row r="1733" spans="1:5" ht="15">
      <c r="A1733" s="129"/>
      <c r="B1733" s="273"/>
      <c r="C1733" s="98"/>
      <c r="D1733" s="98"/>
      <c r="E1733" s="275"/>
    </row>
    <row r="1734" spans="1:5" ht="15">
      <c r="A1734" s="129"/>
      <c r="B1734" s="273"/>
      <c r="C1734" s="98"/>
      <c r="D1734" s="98"/>
      <c r="E1734" s="275"/>
    </row>
    <row r="1735" spans="1:5" ht="15">
      <c r="A1735" s="129"/>
      <c r="B1735" s="273"/>
      <c r="C1735" s="98"/>
      <c r="D1735" s="98"/>
      <c r="E1735" s="275"/>
    </row>
    <row r="1736" spans="1:5" ht="15">
      <c r="A1736" s="129"/>
      <c r="B1736" s="273"/>
      <c r="C1736" s="98"/>
      <c r="D1736" s="98"/>
      <c r="E1736" s="275"/>
    </row>
    <row r="1737" spans="1:5" ht="15">
      <c r="A1737" s="129"/>
      <c r="B1737" s="273"/>
      <c r="C1737" s="98"/>
      <c r="D1737" s="98"/>
      <c r="E1737" s="275"/>
    </row>
    <row r="1738" spans="1:5" ht="15">
      <c r="A1738" s="129"/>
      <c r="B1738" s="273"/>
      <c r="C1738" s="98"/>
      <c r="D1738" s="98"/>
      <c r="E1738" s="275"/>
    </row>
    <row r="1739" spans="1:5" ht="15">
      <c r="A1739" s="129"/>
      <c r="B1739" s="273"/>
      <c r="C1739" s="98"/>
      <c r="D1739" s="98"/>
      <c r="E1739" s="275"/>
    </row>
    <row r="1740" spans="1:5" ht="15">
      <c r="A1740" s="129"/>
      <c r="B1740" s="273"/>
      <c r="C1740" s="98"/>
      <c r="D1740" s="98"/>
      <c r="E1740" s="275"/>
    </row>
    <row r="1741" spans="1:5" ht="15">
      <c r="A1741" s="129"/>
      <c r="B1741" s="273"/>
      <c r="C1741" s="98"/>
      <c r="D1741" s="98"/>
      <c r="E1741" s="275"/>
    </row>
    <row r="1742" spans="1:5" ht="15">
      <c r="A1742" s="129"/>
      <c r="B1742" s="273"/>
      <c r="C1742" s="98"/>
      <c r="D1742" s="98"/>
      <c r="E1742" s="275"/>
    </row>
    <row r="1743" spans="1:5" ht="15">
      <c r="A1743" s="129"/>
      <c r="B1743" s="273"/>
      <c r="C1743" s="98"/>
      <c r="D1743" s="98"/>
      <c r="E1743" s="275"/>
    </row>
    <row r="1744" spans="1:5" ht="15">
      <c r="A1744" s="129"/>
      <c r="B1744" s="273"/>
      <c r="C1744" s="98"/>
      <c r="D1744" s="98"/>
      <c r="E1744" s="275"/>
    </row>
    <row r="1745" spans="1:5" ht="15">
      <c r="A1745" s="129"/>
      <c r="B1745" s="273"/>
      <c r="C1745" s="98"/>
      <c r="D1745" s="98"/>
      <c r="E1745" s="275"/>
    </row>
    <row r="1746" spans="1:5" ht="15">
      <c r="A1746" s="129"/>
      <c r="B1746" s="273"/>
      <c r="C1746" s="98"/>
      <c r="D1746" s="98"/>
      <c r="E1746" s="275"/>
    </row>
    <row r="1747" spans="1:5" ht="15">
      <c r="A1747" s="129"/>
      <c r="B1747" s="273"/>
      <c r="C1747" s="98"/>
      <c r="D1747" s="98"/>
      <c r="E1747" s="275"/>
    </row>
    <row r="1748" spans="1:5" ht="15">
      <c r="A1748" s="129"/>
      <c r="B1748" s="273"/>
      <c r="C1748" s="98"/>
      <c r="D1748" s="98"/>
      <c r="E1748" s="275"/>
    </row>
    <row r="1749" spans="1:5" ht="15">
      <c r="A1749" s="129"/>
      <c r="B1749" s="273"/>
      <c r="C1749" s="98"/>
      <c r="D1749" s="98"/>
      <c r="E1749" s="275"/>
    </row>
    <row r="1750" spans="1:5" ht="15">
      <c r="A1750" s="129"/>
      <c r="B1750" s="273"/>
      <c r="C1750" s="98"/>
      <c r="D1750" s="98"/>
      <c r="E1750" s="275"/>
    </row>
    <row r="1751" spans="1:5" ht="15">
      <c r="A1751" s="129"/>
      <c r="B1751" s="273"/>
      <c r="C1751" s="98"/>
      <c r="D1751" s="98"/>
      <c r="E1751" s="275"/>
    </row>
    <row r="1752" spans="1:5" ht="15">
      <c r="A1752" s="129"/>
      <c r="B1752" s="273"/>
      <c r="C1752" s="98"/>
      <c r="D1752" s="98"/>
      <c r="E1752" s="275"/>
    </row>
    <row r="1753" spans="1:5" ht="15">
      <c r="A1753" s="129"/>
      <c r="B1753" s="273"/>
      <c r="C1753" s="98"/>
      <c r="D1753" s="98"/>
      <c r="E1753" s="275"/>
    </row>
    <row r="1754" spans="1:5" ht="15">
      <c r="A1754" s="129"/>
      <c r="B1754" s="273"/>
      <c r="C1754" s="98"/>
      <c r="D1754" s="98"/>
      <c r="E1754" s="275"/>
    </row>
    <row r="1755" spans="1:5" ht="15">
      <c r="A1755" s="129"/>
      <c r="B1755" s="273"/>
      <c r="C1755" s="98"/>
      <c r="D1755" s="98"/>
      <c r="E1755" s="275"/>
    </row>
    <row r="1756" spans="1:5" ht="15">
      <c r="A1756" s="129"/>
      <c r="B1756" s="273"/>
      <c r="C1756" s="98"/>
      <c r="D1756" s="98"/>
      <c r="E1756" s="275"/>
    </row>
    <row r="1757" spans="1:5" ht="15">
      <c r="A1757" s="129"/>
      <c r="B1757" s="273"/>
      <c r="C1757" s="98"/>
      <c r="D1757" s="98"/>
      <c r="E1757" s="275"/>
    </row>
    <row r="1758" spans="1:5" ht="15">
      <c r="A1758" s="129"/>
      <c r="B1758" s="273"/>
      <c r="C1758" s="98"/>
      <c r="D1758" s="98"/>
      <c r="E1758" s="275"/>
    </row>
    <row r="1759" spans="1:5" ht="15">
      <c r="A1759" s="129"/>
      <c r="B1759" s="273"/>
      <c r="C1759" s="98"/>
      <c r="D1759" s="98"/>
      <c r="E1759" s="275"/>
    </row>
    <row r="1760" spans="1:5" ht="15">
      <c r="A1760" s="129"/>
      <c r="B1760" s="273"/>
      <c r="C1760" s="98"/>
      <c r="D1760" s="98"/>
      <c r="E1760" s="275"/>
    </row>
    <row r="1761" spans="1:5" ht="15">
      <c r="A1761" s="129"/>
      <c r="B1761" s="273"/>
      <c r="C1761" s="98"/>
      <c r="D1761" s="98"/>
      <c r="E1761" s="275"/>
    </row>
    <row r="1762" spans="1:5" ht="15">
      <c r="A1762" s="129"/>
      <c r="B1762" s="273"/>
      <c r="C1762" s="98"/>
      <c r="D1762" s="98"/>
      <c r="E1762" s="275"/>
    </row>
    <row r="1763" spans="1:5" ht="15">
      <c r="A1763" s="129"/>
      <c r="B1763" s="273"/>
      <c r="C1763" s="98"/>
      <c r="D1763" s="98"/>
      <c r="E1763" s="275"/>
    </row>
    <row r="1764" spans="1:5" ht="15">
      <c r="A1764" s="129"/>
      <c r="B1764" s="273"/>
      <c r="C1764" s="98"/>
      <c r="D1764" s="98"/>
      <c r="E1764" s="275"/>
    </row>
    <row r="1765" spans="1:5" ht="15">
      <c r="A1765" s="129"/>
      <c r="B1765" s="273"/>
      <c r="C1765" s="98"/>
      <c r="D1765" s="98"/>
      <c r="E1765" s="275"/>
    </row>
    <row r="1766" spans="1:5" ht="15">
      <c r="A1766" s="129"/>
      <c r="B1766" s="273"/>
      <c r="C1766" s="98"/>
      <c r="D1766" s="98"/>
      <c r="E1766" s="275"/>
    </row>
    <row r="1767" spans="1:5" ht="15">
      <c r="A1767" s="129"/>
      <c r="B1767" s="273"/>
      <c r="C1767" s="98"/>
      <c r="D1767" s="98"/>
      <c r="E1767" s="275"/>
    </row>
    <row r="1768" spans="1:5" ht="15">
      <c r="A1768" s="129"/>
      <c r="B1768" s="273"/>
      <c r="C1768" s="98"/>
      <c r="D1768" s="98"/>
      <c r="E1768" s="275"/>
    </row>
    <row r="1769" spans="1:5" ht="15">
      <c r="A1769" s="129"/>
      <c r="B1769" s="273"/>
      <c r="C1769" s="98"/>
      <c r="D1769" s="98"/>
      <c r="E1769" s="275"/>
    </row>
    <row r="1770" spans="1:5" ht="15">
      <c r="A1770" s="129"/>
      <c r="B1770" s="273"/>
      <c r="C1770" s="98"/>
      <c r="D1770" s="98"/>
      <c r="E1770" s="275"/>
    </row>
    <row r="1771" spans="1:5" ht="15">
      <c r="A1771" s="129"/>
      <c r="B1771" s="273"/>
      <c r="C1771" s="98"/>
      <c r="D1771" s="98"/>
      <c r="E1771" s="275"/>
    </row>
    <row r="1772" spans="1:5" ht="15">
      <c r="A1772" s="129"/>
      <c r="B1772" s="273"/>
      <c r="C1772" s="98"/>
      <c r="D1772" s="98"/>
      <c r="E1772" s="275"/>
    </row>
    <row r="1773" spans="1:5" ht="15">
      <c r="A1773" s="129"/>
      <c r="B1773" s="273"/>
      <c r="C1773" s="98"/>
      <c r="D1773" s="98"/>
      <c r="E1773" s="275"/>
    </row>
    <row r="1774" spans="1:5" ht="15">
      <c r="A1774" s="129"/>
      <c r="B1774" s="273"/>
      <c r="C1774" s="98"/>
      <c r="D1774" s="98"/>
      <c r="E1774" s="275"/>
    </row>
    <row r="1775" spans="1:5" ht="15">
      <c r="A1775" s="129"/>
      <c r="B1775" s="273"/>
      <c r="C1775" s="98"/>
      <c r="D1775" s="98"/>
      <c r="E1775" s="275"/>
    </row>
    <row r="1776" spans="1:5" ht="15">
      <c r="A1776" s="129"/>
      <c r="B1776" s="273"/>
      <c r="C1776" s="98"/>
      <c r="D1776" s="98"/>
      <c r="E1776" s="275"/>
    </row>
    <row r="1777" spans="1:5" ht="15">
      <c r="A1777" s="129"/>
      <c r="B1777" s="273"/>
      <c r="C1777" s="98"/>
      <c r="D1777" s="98"/>
      <c r="E1777" s="275"/>
    </row>
    <row r="1778" spans="1:5" ht="15">
      <c r="A1778" s="129"/>
      <c r="B1778" s="273"/>
      <c r="C1778" s="98"/>
      <c r="D1778" s="98"/>
      <c r="E1778" s="275"/>
    </row>
    <row r="1779" spans="1:5" ht="15">
      <c r="A1779" s="129"/>
      <c r="B1779" s="273"/>
      <c r="C1779" s="98"/>
      <c r="D1779" s="98"/>
      <c r="E1779" s="275"/>
    </row>
    <row r="1780" spans="1:5" ht="15">
      <c r="A1780" s="129"/>
      <c r="B1780" s="273"/>
      <c r="C1780" s="98"/>
      <c r="D1780" s="98"/>
      <c r="E1780" s="275"/>
    </row>
    <row r="1781" spans="1:5" ht="15">
      <c r="A1781" s="129"/>
      <c r="B1781" s="273"/>
      <c r="C1781" s="98"/>
      <c r="D1781" s="98"/>
      <c r="E1781" s="275"/>
    </row>
    <row r="1782" spans="1:5" ht="15">
      <c r="A1782" s="129"/>
      <c r="B1782" s="273"/>
      <c r="C1782" s="98"/>
      <c r="D1782" s="98"/>
      <c r="E1782" s="275"/>
    </row>
    <row r="1783" spans="1:5" ht="15">
      <c r="A1783" s="129"/>
      <c r="B1783" s="273"/>
      <c r="C1783" s="98"/>
      <c r="D1783" s="98"/>
      <c r="E1783" s="275"/>
    </row>
    <row r="1784" spans="1:5" ht="15">
      <c r="A1784" s="129"/>
      <c r="B1784" s="273"/>
      <c r="C1784" s="98"/>
      <c r="D1784" s="98"/>
      <c r="E1784" s="275"/>
    </row>
    <row r="1785" spans="1:5" ht="15">
      <c r="A1785" s="129"/>
      <c r="B1785" s="273"/>
      <c r="C1785" s="98"/>
      <c r="D1785" s="98"/>
      <c r="E1785" s="275"/>
    </row>
    <row r="1786" spans="1:5" ht="15">
      <c r="A1786" s="129"/>
      <c r="B1786" s="273"/>
      <c r="C1786" s="98"/>
      <c r="D1786" s="98"/>
      <c r="E1786" s="275"/>
    </row>
    <row r="1787" spans="1:5" ht="15">
      <c r="A1787" s="129"/>
      <c r="B1787" s="273"/>
      <c r="C1787" s="98"/>
      <c r="D1787" s="98"/>
      <c r="E1787" s="275"/>
    </row>
    <row r="1788" spans="1:5" ht="15">
      <c r="A1788" s="129"/>
      <c r="B1788" s="273"/>
      <c r="C1788" s="98"/>
      <c r="D1788" s="98"/>
      <c r="E1788" s="275"/>
    </row>
    <row r="1789" spans="1:5" ht="15">
      <c r="A1789" s="129"/>
      <c r="B1789" s="273"/>
      <c r="C1789" s="98"/>
      <c r="D1789" s="98"/>
      <c r="E1789" s="275"/>
    </row>
    <row r="1790" spans="1:5" ht="15">
      <c r="A1790" s="129"/>
      <c r="B1790" s="273"/>
      <c r="C1790" s="98"/>
      <c r="D1790" s="98"/>
      <c r="E1790" s="275"/>
    </row>
    <row r="1791" spans="1:5" ht="15">
      <c r="A1791" s="129"/>
      <c r="B1791" s="273"/>
      <c r="C1791" s="98"/>
      <c r="D1791" s="98"/>
      <c r="E1791" s="275"/>
    </row>
    <row r="1792" spans="1:5" ht="15">
      <c r="A1792" s="129"/>
      <c r="B1792" s="273"/>
      <c r="C1792" s="98"/>
      <c r="D1792" s="98"/>
      <c r="E1792" s="275"/>
    </row>
    <row r="1793" spans="1:5" ht="15">
      <c r="A1793" s="129"/>
      <c r="B1793" s="273"/>
      <c r="C1793" s="98"/>
      <c r="D1793" s="98"/>
      <c r="E1793" s="275"/>
    </row>
    <row r="1794" spans="1:5" ht="15">
      <c r="A1794" s="129"/>
      <c r="B1794" s="273"/>
      <c r="C1794" s="98"/>
      <c r="D1794" s="98"/>
      <c r="E1794" s="275"/>
    </row>
    <row r="1795" spans="1:5" ht="15">
      <c r="A1795" s="129"/>
      <c r="B1795" s="273"/>
      <c r="C1795" s="98"/>
      <c r="D1795" s="98"/>
      <c r="E1795" s="275"/>
    </row>
    <row r="1796" spans="1:5" ht="15">
      <c r="A1796" s="129"/>
      <c r="B1796" s="273"/>
      <c r="C1796" s="98"/>
      <c r="D1796" s="98"/>
      <c r="E1796" s="275"/>
    </row>
    <row r="1797" spans="1:5" ht="15">
      <c r="A1797" s="129"/>
      <c r="B1797" s="273"/>
      <c r="C1797" s="98"/>
      <c r="D1797" s="98"/>
      <c r="E1797" s="275"/>
    </row>
    <row r="1798" spans="1:5" ht="15">
      <c r="A1798" s="129"/>
      <c r="B1798" s="273"/>
      <c r="C1798" s="98"/>
      <c r="D1798" s="98"/>
      <c r="E1798" s="275"/>
    </row>
    <row r="1799" spans="1:5" ht="15">
      <c r="A1799" s="129"/>
      <c r="B1799" s="273"/>
      <c r="C1799" s="98"/>
      <c r="D1799" s="98"/>
      <c r="E1799" s="275"/>
    </row>
    <row r="1800" spans="1:5" ht="15">
      <c r="A1800" s="129"/>
      <c r="B1800" s="273"/>
      <c r="C1800" s="98"/>
      <c r="D1800" s="98"/>
      <c r="E1800" s="275"/>
    </row>
    <row r="1801" spans="1:5" ht="15">
      <c r="A1801" s="129"/>
      <c r="B1801" s="273"/>
      <c r="C1801" s="98"/>
      <c r="D1801" s="98"/>
      <c r="E1801" s="275"/>
    </row>
    <row r="1802" spans="1:5" ht="15">
      <c r="A1802" s="129"/>
      <c r="B1802" s="273"/>
      <c r="C1802" s="98"/>
      <c r="D1802" s="98"/>
      <c r="E1802" s="275"/>
    </row>
    <row r="1803" spans="1:5" ht="15">
      <c r="A1803" s="129"/>
      <c r="B1803" s="273"/>
      <c r="C1803" s="98"/>
      <c r="D1803" s="98"/>
      <c r="E1803" s="275"/>
    </row>
    <row r="1804" spans="1:5" ht="15">
      <c r="A1804" s="129"/>
      <c r="B1804" s="273"/>
      <c r="C1804" s="98"/>
      <c r="D1804" s="98"/>
      <c r="E1804" s="275"/>
    </row>
    <row r="1805" spans="1:5" ht="15">
      <c r="A1805" s="129"/>
      <c r="B1805" s="273"/>
      <c r="C1805" s="98"/>
      <c r="D1805" s="98"/>
      <c r="E1805" s="275"/>
    </row>
    <row r="1806" spans="1:5" ht="15">
      <c r="A1806" s="129"/>
      <c r="B1806" s="273"/>
      <c r="C1806" s="98"/>
      <c r="D1806" s="98"/>
      <c r="E1806" s="275"/>
    </row>
    <row r="1807" spans="1:5" ht="15">
      <c r="A1807" s="129"/>
      <c r="B1807" s="273"/>
      <c r="C1807" s="98"/>
      <c r="D1807" s="98"/>
      <c r="E1807" s="275"/>
    </row>
    <row r="1808" spans="1:5" ht="15">
      <c r="A1808" s="129"/>
      <c r="B1808" s="273"/>
      <c r="C1808" s="98"/>
      <c r="D1808" s="98"/>
      <c r="E1808" s="275"/>
    </row>
    <row r="1809" spans="1:5" ht="15">
      <c r="A1809" s="129"/>
      <c r="B1809" s="273"/>
      <c r="C1809" s="98"/>
      <c r="D1809" s="98"/>
      <c r="E1809" s="275"/>
    </row>
    <row r="1810" spans="1:5" ht="15">
      <c r="A1810" s="129"/>
      <c r="B1810" s="273"/>
      <c r="C1810" s="98"/>
      <c r="D1810" s="98"/>
      <c r="E1810" s="275"/>
    </row>
    <row r="1811" spans="1:5" ht="15">
      <c r="A1811" s="129"/>
      <c r="B1811" s="273"/>
      <c r="C1811" s="98"/>
      <c r="D1811" s="98"/>
      <c r="E1811" s="275"/>
    </row>
    <row r="1812" spans="1:5" ht="15">
      <c r="A1812" s="129"/>
      <c r="B1812" s="273"/>
      <c r="C1812" s="98"/>
      <c r="D1812" s="98"/>
      <c r="E1812" s="275"/>
    </row>
    <row r="1813" spans="1:5" ht="15">
      <c r="A1813" s="129"/>
      <c r="B1813" s="273"/>
      <c r="C1813" s="98"/>
      <c r="D1813" s="98"/>
      <c r="E1813" s="275"/>
    </row>
    <row r="1814" spans="1:5" ht="15">
      <c r="A1814" s="129"/>
      <c r="B1814" s="273"/>
      <c r="C1814" s="98"/>
      <c r="D1814" s="98"/>
      <c r="E1814" s="275"/>
    </row>
    <row r="1815" spans="1:5" ht="15">
      <c r="A1815" s="129"/>
      <c r="B1815" s="273"/>
      <c r="C1815" s="98"/>
      <c r="D1815" s="98"/>
      <c r="E1815" s="275"/>
    </row>
    <row r="1816" spans="1:5" ht="15">
      <c r="A1816" s="129"/>
      <c r="B1816" s="273"/>
      <c r="C1816" s="98"/>
      <c r="D1816" s="98"/>
      <c r="E1816" s="275"/>
    </row>
    <row r="1817" spans="1:5" ht="15">
      <c r="A1817" s="129"/>
      <c r="B1817" s="273"/>
      <c r="C1817" s="98"/>
      <c r="D1817" s="98"/>
      <c r="E1817" s="275"/>
    </row>
    <row r="1818" spans="1:5" ht="15">
      <c r="A1818" s="129"/>
      <c r="B1818" s="273"/>
      <c r="C1818" s="98"/>
      <c r="D1818" s="98"/>
      <c r="E1818" s="275"/>
    </row>
    <row r="1819" spans="1:5" ht="15">
      <c r="A1819" s="129"/>
      <c r="B1819" s="273"/>
      <c r="C1819" s="98"/>
      <c r="D1819" s="98"/>
      <c r="E1819" s="275"/>
    </row>
    <row r="1820" spans="1:5" ht="15">
      <c r="A1820" s="129"/>
      <c r="B1820" s="273"/>
      <c r="C1820" s="98"/>
      <c r="D1820" s="98"/>
      <c r="E1820" s="275"/>
    </row>
    <row r="1821" spans="1:5" ht="15">
      <c r="A1821" s="129"/>
      <c r="B1821" s="273"/>
      <c r="C1821" s="98"/>
      <c r="D1821" s="98"/>
      <c r="E1821" s="275"/>
    </row>
    <row r="1822" spans="1:5" ht="15">
      <c r="A1822" s="129"/>
      <c r="B1822" s="273"/>
      <c r="C1822" s="98"/>
      <c r="D1822" s="98"/>
      <c r="E1822" s="275"/>
    </row>
    <row r="1823" spans="1:5" ht="15">
      <c r="A1823" s="129"/>
      <c r="B1823" s="273"/>
      <c r="C1823" s="98"/>
      <c r="D1823" s="98"/>
      <c r="E1823" s="275"/>
    </row>
    <row r="1824" spans="1:5" ht="15">
      <c r="A1824" s="129"/>
      <c r="B1824" s="273"/>
      <c r="C1824" s="98"/>
      <c r="D1824" s="98"/>
      <c r="E1824" s="275"/>
    </row>
    <row r="1825" spans="1:5" ht="15">
      <c r="A1825" s="129"/>
      <c r="B1825" s="273"/>
      <c r="C1825" s="98"/>
      <c r="D1825" s="98"/>
      <c r="E1825" s="275"/>
    </row>
    <row r="1826" spans="1:5" ht="15">
      <c r="A1826" s="129"/>
      <c r="B1826" s="273"/>
      <c r="C1826" s="98"/>
      <c r="D1826" s="98"/>
      <c r="E1826" s="275"/>
    </row>
    <row r="1827" spans="1:5" ht="15">
      <c r="A1827" s="129"/>
      <c r="B1827" s="273"/>
      <c r="C1827" s="98"/>
      <c r="D1827" s="98"/>
      <c r="E1827" s="275"/>
    </row>
    <row r="1828" spans="1:5" ht="15">
      <c r="A1828" s="129"/>
      <c r="B1828" s="273"/>
      <c r="C1828" s="98"/>
      <c r="D1828" s="98"/>
      <c r="E1828" s="275"/>
    </row>
    <row r="1829" spans="1:5" ht="15">
      <c r="A1829" s="129"/>
      <c r="B1829" s="273"/>
      <c r="C1829" s="98"/>
      <c r="D1829" s="98"/>
      <c r="E1829" s="275"/>
    </row>
    <row r="1830" spans="1:5" ht="15">
      <c r="A1830" s="129"/>
      <c r="B1830" s="273"/>
      <c r="C1830" s="98"/>
      <c r="D1830" s="98"/>
      <c r="E1830" s="275"/>
    </row>
    <row r="1831" spans="1:5" ht="15">
      <c r="A1831" s="129"/>
      <c r="B1831" s="273"/>
      <c r="C1831" s="98"/>
      <c r="D1831" s="98"/>
      <c r="E1831" s="275"/>
    </row>
    <row r="1832" spans="1:5" ht="15">
      <c r="A1832" s="129"/>
      <c r="B1832" s="273"/>
      <c r="C1832" s="98"/>
      <c r="D1832" s="98"/>
      <c r="E1832" s="275"/>
    </row>
    <row r="1833" spans="1:5" ht="15">
      <c r="A1833" s="129"/>
      <c r="B1833" s="273"/>
      <c r="C1833" s="98"/>
      <c r="D1833" s="98"/>
      <c r="E1833" s="275"/>
    </row>
    <row r="1834" spans="1:5" ht="15">
      <c r="A1834" s="129"/>
      <c r="B1834" s="273"/>
      <c r="C1834" s="98"/>
      <c r="D1834" s="98"/>
      <c r="E1834" s="275"/>
    </row>
    <row r="1835" spans="1:5" ht="15">
      <c r="A1835" s="129"/>
      <c r="B1835" s="273"/>
      <c r="C1835" s="98"/>
      <c r="D1835" s="98"/>
      <c r="E1835" s="275"/>
    </row>
    <row r="1836" spans="1:5" ht="15">
      <c r="A1836" s="129"/>
      <c r="B1836" s="273"/>
      <c r="C1836" s="98"/>
      <c r="D1836" s="98"/>
      <c r="E1836" s="275"/>
    </row>
    <row r="1837" spans="1:5" ht="15">
      <c r="A1837" s="129"/>
      <c r="B1837" s="273"/>
      <c r="C1837" s="98"/>
      <c r="D1837" s="98"/>
      <c r="E1837" s="275"/>
    </row>
    <row r="1838" spans="1:5" ht="15">
      <c r="A1838" s="129"/>
      <c r="B1838" s="273"/>
      <c r="C1838" s="98"/>
      <c r="D1838" s="98"/>
      <c r="E1838" s="275"/>
    </row>
    <row r="1839" spans="1:5" ht="15">
      <c r="A1839" s="129"/>
      <c r="B1839" s="273"/>
      <c r="C1839" s="98"/>
      <c r="D1839" s="98"/>
      <c r="E1839" s="275"/>
    </row>
    <row r="1840" spans="1:5" ht="15">
      <c r="A1840" s="129"/>
      <c r="B1840" s="273"/>
      <c r="C1840" s="98"/>
      <c r="D1840" s="98"/>
      <c r="E1840" s="275"/>
    </row>
    <row r="1841" spans="1:5" ht="15">
      <c r="A1841" s="129"/>
      <c r="B1841" s="273"/>
      <c r="C1841" s="98"/>
      <c r="D1841" s="98"/>
      <c r="E1841" s="275"/>
    </row>
    <row r="1842" spans="1:5" ht="15">
      <c r="A1842" s="129"/>
      <c r="B1842" s="273"/>
      <c r="C1842" s="98"/>
      <c r="D1842" s="98"/>
      <c r="E1842" s="275"/>
    </row>
    <row r="1843" spans="1:5" ht="15">
      <c r="A1843" s="129"/>
      <c r="B1843" s="273"/>
      <c r="C1843" s="98"/>
      <c r="D1843" s="98"/>
      <c r="E1843" s="275"/>
    </row>
    <row r="1844" spans="1:5" ht="15">
      <c r="A1844" s="129"/>
      <c r="B1844" s="273"/>
      <c r="C1844" s="98"/>
      <c r="D1844" s="98"/>
      <c r="E1844" s="275"/>
    </row>
    <row r="1845" spans="1:5" ht="15">
      <c r="A1845" s="129"/>
      <c r="B1845" s="273"/>
      <c r="C1845" s="98"/>
      <c r="D1845" s="98"/>
      <c r="E1845" s="275"/>
    </row>
    <row r="1846" spans="1:5" ht="15">
      <c r="A1846" s="129"/>
      <c r="B1846" s="273"/>
      <c r="C1846" s="98"/>
      <c r="D1846" s="98"/>
      <c r="E1846" s="275"/>
    </row>
    <row r="1847" spans="1:5" ht="15">
      <c r="A1847" s="129"/>
      <c r="B1847" s="273"/>
      <c r="C1847" s="98"/>
      <c r="D1847" s="98"/>
      <c r="E1847" s="275"/>
    </row>
    <row r="1848" spans="1:5" ht="15">
      <c r="A1848" s="129"/>
      <c r="B1848" s="273"/>
      <c r="C1848" s="98"/>
      <c r="D1848" s="98"/>
      <c r="E1848" s="275"/>
    </row>
    <row r="1849" spans="1:5" ht="15">
      <c r="A1849" s="129"/>
      <c r="B1849" s="273"/>
      <c r="C1849" s="98"/>
      <c r="D1849" s="98"/>
      <c r="E1849" s="275"/>
    </row>
    <row r="1850" spans="1:5" ht="15">
      <c r="A1850" s="129"/>
      <c r="B1850" s="273"/>
      <c r="C1850" s="98"/>
      <c r="D1850" s="98"/>
      <c r="E1850" s="275"/>
    </row>
    <row r="1851" spans="1:5" ht="15">
      <c r="A1851" s="129"/>
      <c r="B1851" s="273"/>
      <c r="C1851" s="98"/>
      <c r="D1851" s="98"/>
      <c r="E1851" s="275"/>
    </row>
    <row r="1852" spans="1:5" ht="15">
      <c r="A1852" s="129"/>
      <c r="B1852" s="273"/>
      <c r="C1852" s="98"/>
      <c r="D1852" s="98"/>
      <c r="E1852" s="275"/>
    </row>
    <row r="1853" spans="1:5" ht="15">
      <c r="A1853" s="129"/>
      <c r="B1853" s="273"/>
      <c r="C1853" s="98"/>
      <c r="D1853" s="98"/>
      <c r="E1853" s="275"/>
    </row>
    <row r="1854" spans="1:5" ht="15">
      <c r="A1854" s="129"/>
      <c r="B1854" s="273"/>
      <c r="C1854" s="98"/>
      <c r="D1854" s="98"/>
      <c r="E1854" s="275"/>
    </row>
    <row r="1855" spans="1:5" ht="15">
      <c r="A1855" s="129"/>
      <c r="B1855" s="273"/>
      <c r="C1855" s="98"/>
      <c r="D1855" s="98"/>
      <c r="E1855" s="275"/>
    </row>
    <row r="1856" spans="1:5" ht="15">
      <c r="A1856" s="129"/>
      <c r="B1856" s="273"/>
      <c r="C1856" s="98"/>
      <c r="D1856" s="98"/>
      <c r="E1856" s="275"/>
    </row>
    <row r="1857" spans="1:5" ht="15">
      <c r="A1857" s="129"/>
      <c r="B1857" s="273"/>
      <c r="C1857" s="98"/>
      <c r="D1857" s="98"/>
      <c r="E1857" s="275"/>
    </row>
    <row r="1858" spans="1:5" ht="15">
      <c r="A1858" s="129"/>
      <c r="B1858" s="273"/>
      <c r="C1858" s="98"/>
      <c r="D1858" s="98"/>
      <c r="E1858" s="275"/>
    </row>
    <row r="1859" spans="1:5" ht="15">
      <c r="A1859" s="129"/>
      <c r="B1859" s="273"/>
      <c r="C1859" s="98"/>
      <c r="D1859" s="98"/>
      <c r="E1859" s="275"/>
    </row>
    <row r="1860" spans="1:5" ht="15">
      <c r="A1860" s="129"/>
      <c r="B1860" s="273"/>
      <c r="C1860" s="98"/>
      <c r="D1860" s="98"/>
      <c r="E1860" s="275"/>
    </row>
    <row r="1861" spans="1:5" ht="15">
      <c r="A1861" s="129"/>
      <c r="B1861" s="273"/>
      <c r="C1861" s="98"/>
      <c r="D1861" s="98"/>
      <c r="E1861" s="275"/>
    </row>
    <row r="1862" spans="1:5" ht="15">
      <c r="A1862" s="129"/>
      <c r="B1862" s="273"/>
      <c r="C1862" s="98"/>
      <c r="D1862" s="98"/>
      <c r="E1862" s="275"/>
    </row>
    <row r="1863" spans="1:5" ht="15">
      <c r="A1863" s="129"/>
      <c r="B1863" s="273"/>
      <c r="C1863" s="98"/>
      <c r="D1863" s="98"/>
      <c r="E1863" s="275"/>
    </row>
    <row r="1864" spans="1:5" ht="15">
      <c r="A1864" s="129"/>
      <c r="B1864" s="273"/>
      <c r="C1864" s="98"/>
      <c r="D1864" s="98"/>
      <c r="E1864" s="275"/>
    </row>
    <row r="1865" spans="1:5" ht="15">
      <c r="A1865" s="129"/>
      <c r="B1865" s="273"/>
      <c r="C1865" s="98"/>
      <c r="D1865" s="98"/>
      <c r="E1865" s="275"/>
    </row>
    <row r="1866" spans="1:5" ht="15">
      <c r="A1866" s="129"/>
      <c r="B1866" s="273"/>
      <c r="C1866" s="98"/>
      <c r="D1866" s="98"/>
      <c r="E1866" s="275"/>
    </row>
    <row r="1867" spans="1:5" ht="15">
      <c r="A1867" s="129"/>
      <c r="B1867" s="273"/>
      <c r="C1867" s="98"/>
      <c r="D1867" s="98"/>
      <c r="E1867" s="275"/>
    </row>
    <row r="1868" spans="1:5" ht="15">
      <c r="A1868" s="129"/>
      <c r="B1868" s="273"/>
      <c r="C1868" s="98"/>
      <c r="D1868" s="98"/>
      <c r="E1868" s="275"/>
    </row>
    <row r="1869" spans="1:5" ht="15">
      <c r="A1869" s="129"/>
      <c r="B1869" s="273"/>
      <c r="C1869" s="98"/>
      <c r="D1869" s="98"/>
      <c r="E1869" s="275"/>
    </row>
    <row r="1870" spans="1:5" ht="15">
      <c r="A1870" s="129"/>
      <c r="B1870" s="273"/>
      <c r="C1870" s="98"/>
      <c r="D1870" s="98"/>
      <c r="E1870" s="275"/>
    </row>
    <row r="1871" spans="1:5" ht="15">
      <c r="A1871" s="129"/>
      <c r="B1871" s="273"/>
      <c r="C1871" s="98"/>
      <c r="D1871" s="98"/>
      <c r="E1871" s="275"/>
    </row>
    <row r="1872" spans="1:5" ht="15">
      <c r="A1872" s="129"/>
      <c r="B1872" s="273"/>
      <c r="C1872" s="98"/>
      <c r="D1872" s="98"/>
      <c r="E1872" s="275"/>
    </row>
    <row r="1873" spans="1:5" ht="15">
      <c r="A1873" s="129"/>
      <c r="B1873" s="273"/>
      <c r="C1873" s="98"/>
      <c r="D1873" s="98"/>
      <c r="E1873" s="275"/>
    </row>
    <row r="1874" spans="1:5" ht="15">
      <c r="A1874" s="129"/>
      <c r="B1874" s="273"/>
      <c r="C1874" s="98"/>
      <c r="D1874" s="98"/>
      <c r="E1874" s="275"/>
    </row>
    <row r="1875" spans="1:5" ht="15">
      <c r="A1875" s="129"/>
      <c r="B1875" s="273"/>
      <c r="C1875" s="98"/>
      <c r="D1875" s="98"/>
      <c r="E1875" s="275"/>
    </row>
    <row r="1876" spans="1:5" ht="15">
      <c r="A1876" s="129"/>
      <c r="B1876" s="273"/>
      <c r="C1876" s="98"/>
      <c r="D1876" s="98"/>
      <c r="E1876" s="275"/>
    </row>
    <row r="1877" spans="1:5" ht="15">
      <c r="A1877" s="129"/>
      <c r="B1877" s="273"/>
      <c r="C1877" s="98"/>
      <c r="D1877" s="98"/>
      <c r="E1877" s="275"/>
    </row>
    <row r="1878" spans="1:5" ht="15">
      <c r="A1878" s="129"/>
      <c r="B1878" s="273"/>
      <c r="C1878" s="98"/>
      <c r="D1878" s="98"/>
      <c r="E1878" s="275"/>
    </row>
    <row r="1879" spans="1:5" ht="15">
      <c r="A1879" s="129"/>
      <c r="B1879" s="273"/>
      <c r="C1879" s="98"/>
      <c r="D1879" s="98"/>
      <c r="E1879" s="275"/>
    </row>
    <row r="1880" spans="1:5" ht="15">
      <c r="A1880" s="129"/>
      <c r="B1880" s="273"/>
      <c r="C1880" s="98"/>
      <c r="D1880" s="98"/>
      <c r="E1880" s="275"/>
    </row>
    <row r="1881" spans="1:5" ht="15">
      <c r="A1881" s="129"/>
      <c r="B1881" s="273"/>
      <c r="C1881" s="98"/>
      <c r="D1881" s="98"/>
      <c r="E1881" s="275"/>
    </row>
    <row r="1882" spans="1:5" ht="15">
      <c r="A1882" s="129"/>
      <c r="B1882" s="273"/>
      <c r="C1882" s="98"/>
      <c r="D1882" s="98"/>
      <c r="E1882" s="275"/>
    </row>
    <row r="1883" spans="1:5" ht="15">
      <c r="A1883" s="129"/>
      <c r="B1883" s="273"/>
      <c r="C1883" s="98"/>
      <c r="D1883" s="98"/>
      <c r="E1883" s="275"/>
    </row>
    <row r="1884" spans="1:5" ht="15">
      <c r="A1884" s="129"/>
      <c r="B1884" s="273"/>
      <c r="C1884" s="98"/>
      <c r="D1884" s="98"/>
      <c r="E1884" s="275"/>
    </row>
    <row r="1885" spans="1:5" ht="15">
      <c r="A1885" s="129"/>
      <c r="B1885" s="273"/>
      <c r="C1885" s="98"/>
      <c r="D1885" s="98"/>
      <c r="E1885" s="275"/>
    </row>
    <row r="1886" spans="1:5" ht="15">
      <c r="A1886" s="129"/>
      <c r="B1886" s="273"/>
      <c r="C1886" s="98"/>
      <c r="D1886" s="98"/>
      <c r="E1886" s="275"/>
    </row>
    <row r="1887" spans="1:5" ht="15">
      <c r="A1887" s="129"/>
      <c r="B1887" s="273"/>
      <c r="C1887" s="98"/>
      <c r="D1887" s="98"/>
      <c r="E1887" s="275"/>
    </row>
    <row r="1888" spans="1:5" ht="15">
      <c r="A1888" s="129"/>
      <c r="B1888" s="273"/>
      <c r="C1888" s="98"/>
      <c r="D1888" s="98"/>
      <c r="E1888" s="275"/>
    </row>
    <row r="1889" spans="1:5" ht="15">
      <c r="A1889" s="129"/>
      <c r="B1889" s="273"/>
      <c r="C1889" s="98"/>
      <c r="D1889" s="98"/>
      <c r="E1889" s="275"/>
    </row>
    <row r="1890" spans="1:5" ht="15">
      <c r="A1890" s="129"/>
      <c r="B1890" s="273"/>
      <c r="C1890" s="98"/>
      <c r="D1890" s="98"/>
      <c r="E1890" s="275"/>
    </row>
    <row r="1891" spans="1:5" ht="15">
      <c r="A1891" s="129"/>
      <c r="B1891" s="273"/>
      <c r="C1891" s="98"/>
      <c r="D1891" s="98"/>
      <c r="E1891" s="275"/>
    </row>
    <row r="1892" spans="1:5" ht="15">
      <c r="A1892" s="129"/>
      <c r="B1892" s="273"/>
      <c r="C1892" s="98"/>
      <c r="D1892" s="98"/>
      <c r="E1892" s="275"/>
    </row>
    <row r="1893" spans="1:5" ht="15">
      <c r="A1893" s="129"/>
      <c r="B1893" s="273"/>
      <c r="C1893" s="98"/>
      <c r="D1893" s="98"/>
      <c r="E1893" s="275"/>
    </row>
    <row r="1894" spans="1:5" ht="15">
      <c r="A1894" s="129"/>
      <c r="B1894" s="273"/>
      <c r="C1894" s="98"/>
      <c r="D1894" s="98"/>
      <c r="E1894" s="275"/>
    </row>
    <row r="1895" spans="1:5" ht="15">
      <c r="A1895" s="129"/>
      <c r="B1895" s="273"/>
      <c r="C1895" s="98"/>
      <c r="D1895" s="98"/>
      <c r="E1895" s="275"/>
    </row>
    <row r="1896" spans="1:5" ht="15">
      <c r="A1896" s="129"/>
      <c r="B1896" s="273"/>
      <c r="C1896" s="98"/>
      <c r="D1896" s="98"/>
      <c r="E1896" s="275"/>
    </row>
    <row r="1897" spans="1:5" ht="15">
      <c r="A1897" s="129"/>
      <c r="B1897" s="273"/>
      <c r="C1897" s="98"/>
      <c r="D1897" s="98"/>
      <c r="E1897" s="275"/>
    </row>
    <row r="1898" spans="1:5" ht="15">
      <c r="A1898" s="129"/>
      <c r="B1898" s="273"/>
      <c r="C1898" s="98"/>
      <c r="D1898" s="98"/>
      <c r="E1898" s="275"/>
    </row>
    <row r="1899" spans="1:5" ht="15">
      <c r="A1899" s="129"/>
      <c r="B1899" s="273"/>
      <c r="C1899" s="98"/>
      <c r="D1899" s="98"/>
      <c r="E1899" s="275"/>
    </row>
    <row r="1900" spans="1:5" ht="15">
      <c r="A1900" s="129"/>
      <c r="B1900" s="273"/>
      <c r="C1900" s="98"/>
      <c r="D1900" s="98"/>
      <c r="E1900" s="275"/>
    </row>
    <row r="1901" spans="1:5" ht="15">
      <c r="A1901" s="129"/>
      <c r="B1901" s="273"/>
      <c r="C1901" s="98"/>
      <c r="D1901" s="98"/>
      <c r="E1901" s="275"/>
    </row>
    <row r="1902" spans="1:5" ht="15">
      <c r="A1902" s="129"/>
      <c r="B1902" s="273"/>
      <c r="C1902" s="98"/>
      <c r="D1902" s="98"/>
      <c r="E1902" s="275"/>
    </row>
    <row r="1903" spans="1:5" ht="15">
      <c r="A1903" s="129"/>
      <c r="B1903" s="273"/>
      <c r="C1903" s="98"/>
      <c r="D1903" s="98"/>
      <c r="E1903" s="275"/>
    </row>
    <row r="1904" spans="1:5" ht="15">
      <c r="A1904" s="129"/>
      <c r="B1904" s="273"/>
      <c r="C1904" s="98"/>
      <c r="D1904" s="98"/>
      <c r="E1904" s="275"/>
    </row>
    <row r="1905" spans="1:5" ht="15">
      <c r="A1905" s="129"/>
      <c r="B1905" s="273"/>
      <c r="C1905" s="98"/>
      <c r="D1905" s="98"/>
      <c r="E1905" s="275"/>
    </row>
    <row r="1906" spans="1:5" ht="15">
      <c r="A1906" s="129"/>
      <c r="B1906" s="273"/>
      <c r="C1906" s="98"/>
      <c r="D1906" s="98"/>
      <c r="E1906" s="275"/>
    </row>
    <row r="1907" spans="1:5" ht="15">
      <c r="A1907" s="129"/>
      <c r="B1907" s="273"/>
      <c r="C1907" s="98"/>
      <c r="D1907" s="98"/>
      <c r="E1907" s="275"/>
    </row>
    <row r="1908" spans="1:5" ht="15">
      <c r="A1908" s="129"/>
      <c r="B1908" s="273"/>
      <c r="C1908" s="98"/>
      <c r="D1908" s="98"/>
      <c r="E1908" s="275"/>
    </row>
    <row r="1909" spans="1:5" ht="15">
      <c r="A1909" s="129"/>
      <c r="B1909" s="273"/>
      <c r="C1909" s="98"/>
      <c r="D1909" s="98"/>
      <c r="E1909" s="275"/>
    </row>
    <row r="1910" spans="1:5" ht="15">
      <c r="A1910" s="129"/>
      <c r="B1910" s="273"/>
      <c r="C1910" s="98"/>
      <c r="D1910" s="98"/>
      <c r="E1910" s="275"/>
    </row>
    <row r="1911" spans="1:5" ht="15">
      <c r="A1911" s="129"/>
      <c r="B1911" s="273"/>
      <c r="C1911" s="98"/>
      <c r="D1911" s="98"/>
      <c r="E1911" s="275"/>
    </row>
    <row r="1912" spans="1:5" ht="15">
      <c r="A1912" s="129"/>
      <c r="B1912" s="273"/>
      <c r="C1912" s="98"/>
      <c r="D1912" s="98"/>
      <c r="E1912" s="275"/>
    </row>
    <row r="1913" spans="1:5" ht="15">
      <c r="A1913" s="129"/>
      <c r="B1913" s="273"/>
      <c r="C1913" s="98"/>
      <c r="D1913" s="98"/>
      <c r="E1913" s="275"/>
    </row>
    <row r="1914" spans="1:5" ht="15">
      <c r="A1914" s="129"/>
      <c r="B1914" s="273"/>
      <c r="C1914" s="98"/>
      <c r="D1914" s="98"/>
      <c r="E1914" s="275"/>
    </row>
    <row r="1915" spans="1:5" ht="15">
      <c r="A1915" s="129"/>
      <c r="B1915" s="273"/>
      <c r="C1915" s="98"/>
      <c r="D1915" s="98"/>
      <c r="E1915" s="275"/>
    </row>
    <row r="1916" spans="1:5" ht="15">
      <c r="A1916" s="129"/>
      <c r="B1916" s="273"/>
      <c r="C1916" s="98"/>
      <c r="D1916" s="98"/>
      <c r="E1916" s="275"/>
    </row>
    <row r="1917" spans="1:5" ht="15">
      <c r="A1917" s="129"/>
      <c r="B1917" s="273"/>
      <c r="C1917" s="98"/>
      <c r="D1917" s="98"/>
      <c r="E1917" s="275"/>
    </row>
    <row r="1918" spans="1:5" ht="15">
      <c r="A1918" s="129"/>
      <c r="B1918" s="273"/>
      <c r="C1918" s="98"/>
      <c r="D1918" s="98"/>
      <c r="E1918" s="275"/>
    </row>
    <row r="1919" spans="1:5" ht="15">
      <c r="A1919" s="129"/>
      <c r="B1919" s="273"/>
      <c r="C1919" s="98"/>
      <c r="D1919" s="98"/>
      <c r="E1919" s="275"/>
    </row>
    <row r="1920" spans="1:5" ht="15">
      <c r="A1920" s="129"/>
      <c r="B1920" s="273"/>
      <c r="C1920" s="98"/>
      <c r="D1920" s="98"/>
      <c r="E1920" s="275"/>
    </row>
    <row r="1921" spans="1:5" ht="15">
      <c r="A1921" s="129"/>
      <c r="B1921" s="273"/>
      <c r="C1921" s="98"/>
      <c r="D1921" s="98"/>
      <c r="E1921" s="275"/>
    </row>
    <row r="1922" spans="1:5" ht="15">
      <c r="A1922" s="129"/>
      <c r="B1922" s="273"/>
      <c r="C1922" s="98"/>
      <c r="D1922" s="98"/>
      <c r="E1922" s="275"/>
    </row>
    <row r="1923" spans="1:5" ht="15">
      <c r="A1923" s="129"/>
      <c r="B1923" s="273"/>
      <c r="C1923" s="98"/>
      <c r="D1923" s="98"/>
      <c r="E1923" s="275"/>
    </row>
    <row r="1924" spans="1:5" ht="15">
      <c r="A1924" s="129"/>
      <c r="B1924" s="273"/>
      <c r="C1924" s="98"/>
      <c r="D1924" s="98"/>
      <c r="E1924" s="275"/>
    </row>
    <row r="1925" spans="1:5" ht="15">
      <c r="A1925" s="129"/>
      <c r="B1925" s="273"/>
      <c r="C1925" s="98"/>
      <c r="D1925" s="98"/>
      <c r="E1925" s="275"/>
    </row>
    <row r="1926" spans="1:5" ht="15">
      <c r="A1926" s="129"/>
      <c r="B1926" s="273"/>
      <c r="C1926" s="98"/>
      <c r="D1926" s="98"/>
      <c r="E1926" s="275"/>
    </row>
    <row r="1927" spans="1:5" ht="15">
      <c r="A1927" s="129"/>
      <c r="B1927" s="273"/>
      <c r="C1927" s="98"/>
      <c r="D1927" s="98"/>
      <c r="E1927" s="275"/>
    </row>
    <row r="1928" spans="1:5" ht="15">
      <c r="A1928" s="129"/>
      <c r="B1928" s="273"/>
      <c r="C1928" s="98"/>
      <c r="D1928" s="98"/>
      <c r="E1928" s="275"/>
    </row>
    <row r="1929" spans="1:5" ht="15">
      <c r="A1929" s="129"/>
      <c r="B1929" s="273"/>
      <c r="C1929" s="98"/>
      <c r="D1929" s="98"/>
      <c r="E1929" s="275"/>
    </row>
    <row r="1930" spans="1:5" ht="15">
      <c r="A1930" s="129"/>
      <c r="B1930" s="273"/>
      <c r="C1930" s="98"/>
      <c r="D1930" s="98"/>
      <c r="E1930" s="275"/>
    </row>
    <row r="1931" spans="1:5" ht="15">
      <c r="A1931" s="129"/>
      <c r="B1931" s="273"/>
      <c r="C1931" s="98"/>
      <c r="D1931" s="98"/>
      <c r="E1931" s="275"/>
    </row>
    <row r="1932" spans="1:5" ht="15">
      <c r="A1932" s="129"/>
      <c r="B1932" s="273"/>
      <c r="C1932" s="98"/>
      <c r="D1932" s="98"/>
      <c r="E1932" s="275"/>
    </row>
    <row r="1933" spans="1:5" ht="15">
      <c r="A1933" s="129"/>
      <c r="B1933" s="273"/>
      <c r="C1933" s="98"/>
      <c r="D1933" s="98"/>
      <c r="E1933" s="275"/>
    </row>
    <row r="1934" spans="1:5" ht="15">
      <c r="A1934" s="129"/>
      <c r="B1934" s="273"/>
      <c r="C1934" s="98"/>
      <c r="D1934" s="98"/>
      <c r="E1934" s="275"/>
    </row>
    <row r="1935" spans="1:5" ht="15">
      <c r="A1935" s="129"/>
      <c r="B1935" s="273"/>
      <c r="C1935" s="98"/>
      <c r="D1935" s="98"/>
      <c r="E1935" s="275"/>
    </row>
    <row r="1936" spans="1:5" ht="15">
      <c r="A1936" s="129"/>
      <c r="B1936" s="273"/>
      <c r="C1936" s="98"/>
      <c r="D1936" s="98"/>
      <c r="E1936" s="275"/>
    </row>
    <row r="1937" spans="1:5" ht="15">
      <c r="A1937" s="129"/>
      <c r="B1937" s="273"/>
      <c r="C1937" s="98"/>
      <c r="D1937" s="98"/>
      <c r="E1937" s="275"/>
    </row>
    <row r="1938" spans="1:5" ht="15">
      <c r="A1938" s="129"/>
      <c r="B1938" s="273"/>
      <c r="C1938" s="98"/>
      <c r="D1938" s="98"/>
      <c r="E1938" s="275"/>
    </row>
    <row r="1939" spans="1:5" ht="15">
      <c r="A1939" s="129"/>
      <c r="B1939" s="273"/>
      <c r="C1939" s="98"/>
      <c r="D1939" s="98"/>
      <c r="E1939" s="275"/>
    </row>
    <row r="1940" spans="1:5" ht="15">
      <c r="A1940" s="129"/>
      <c r="B1940" s="273"/>
      <c r="C1940" s="98"/>
      <c r="D1940" s="98"/>
      <c r="E1940" s="275"/>
    </row>
    <row r="1941" spans="1:5" ht="15">
      <c r="A1941" s="129"/>
      <c r="B1941" s="273"/>
      <c r="C1941" s="98"/>
      <c r="D1941" s="98"/>
      <c r="E1941" s="275"/>
    </row>
    <row r="1942" spans="1:5" ht="15">
      <c r="A1942" s="129"/>
      <c r="B1942" s="273"/>
      <c r="C1942" s="98"/>
      <c r="D1942" s="98"/>
      <c r="E1942" s="275"/>
    </row>
    <row r="1943" spans="1:5" ht="15">
      <c r="A1943" s="129"/>
      <c r="B1943" s="273"/>
      <c r="C1943" s="98"/>
      <c r="D1943" s="98"/>
      <c r="E1943" s="275"/>
    </row>
    <row r="1944" spans="1:5" ht="15">
      <c r="A1944" s="129"/>
      <c r="B1944" s="273"/>
      <c r="C1944" s="98"/>
      <c r="D1944" s="98"/>
      <c r="E1944" s="275"/>
    </row>
    <row r="1945" spans="1:5" ht="15">
      <c r="A1945" s="129"/>
      <c r="B1945" s="273"/>
      <c r="C1945" s="98"/>
      <c r="D1945" s="98"/>
      <c r="E1945" s="275"/>
    </row>
    <row r="1946" spans="1:5" ht="15">
      <c r="A1946" s="129"/>
      <c r="B1946" s="273"/>
      <c r="C1946" s="98"/>
      <c r="D1946" s="98"/>
      <c r="E1946" s="275"/>
    </row>
    <row r="1947" spans="1:5" ht="15">
      <c r="A1947" s="129"/>
      <c r="B1947" s="273"/>
      <c r="C1947" s="98"/>
      <c r="D1947" s="98"/>
      <c r="E1947" s="275"/>
    </row>
    <row r="1948" spans="1:5" ht="15">
      <c r="A1948" s="129"/>
      <c r="B1948" s="273"/>
      <c r="C1948" s="98"/>
      <c r="D1948" s="98"/>
      <c r="E1948" s="275"/>
    </row>
    <row r="1949" spans="1:5" ht="15">
      <c r="A1949" s="129"/>
      <c r="B1949" s="273"/>
      <c r="C1949" s="98"/>
      <c r="D1949" s="98"/>
      <c r="E1949" s="275"/>
    </row>
    <row r="1950" spans="1:5" ht="15">
      <c r="A1950" s="129"/>
      <c r="B1950" s="273"/>
      <c r="C1950" s="98"/>
      <c r="D1950" s="98"/>
      <c r="E1950" s="275"/>
    </row>
    <row r="1951" spans="1:5" ht="15">
      <c r="A1951" s="129"/>
      <c r="B1951" s="273"/>
      <c r="C1951" s="98"/>
      <c r="D1951" s="98"/>
      <c r="E1951" s="275"/>
    </row>
    <row r="1952" spans="1:5" ht="15">
      <c r="A1952" s="129"/>
      <c r="B1952" s="273"/>
      <c r="C1952" s="98"/>
      <c r="D1952" s="98"/>
      <c r="E1952" s="275"/>
    </row>
    <row r="1953" spans="1:5" ht="15">
      <c r="A1953" s="129"/>
      <c r="B1953" s="273"/>
      <c r="C1953" s="98"/>
      <c r="D1953" s="98"/>
      <c r="E1953" s="275"/>
    </row>
    <row r="1954" spans="1:5" ht="15">
      <c r="A1954" s="129"/>
      <c r="B1954" s="273"/>
      <c r="C1954" s="98"/>
      <c r="D1954" s="98"/>
      <c r="E1954" s="275"/>
    </row>
    <row r="1955" spans="1:5" ht="15">
      <c r="A1955" s="129"/>
      <c r="B1955" s="273"/>
      <c r="C1955" s="98"/>
      <c r="D1955" s="98"/>
      <c r="E1955" s="275"/>
    </row>
    <row r="1956" spans="1:5" ht="15">
      <c r="A1956" s="129"/>
      <c r="B1956" s="273"/>
      <c r="C1956" s="98"/>
      <c r="D1956" s="98"/>
      <c r="E1956" s="275"/>
    </row>
    <row r="1957" spans="1:5" ht="15">
      <c r="A1957" s="129"/>
      <c r="B1957" s="273"/>
      <c r="C1957" s="98"/>
      <c r="D1957" s="98"/>
      <c r="E1957" s="275"/>
    </row>
    <row r="1958" spans="1:5" ht="15">
      <c r="A1958" s="129"/>
      <c r="B1958" s="273"/>
      <c r="C1958" s="98"/>
      <c r="D1958" s="98"/>
      <c r="E1958" s="275"/>
    </row>
    <row r="1959" spans="1:5" ht="15">
      <c r="A1959" s="129"/>
      <c r="B1959" s="273"/>
      <c r="C1959" s="98"/>
      <c r="D1959" s="98"/>
      <c r="E1959" s="275"/>
    </row>
    <row r="1960" spans="1:5" ht="15">
      <c r="A1960" s="129"/>
      <c r="B1960" s="273"/>
      <c r="C1960" s="98"/>
      <c r="D1960" s="98"/>
      <c r="E1960" s="275"/>
    </row>
    <row r="1961" spans="1:5" ht="15">
      <c r="A1961" s="129"/>
      <c r="B1961" s="273"/>
      <c r="C1961" s="98"/>
      <c r="D1961" s="98"/>
      <c r="E1961" s="275"/>
    </row>
    <row r="1962" spans="1:5" ht="15">
      <c r="A1962" s="129"/>
      <c r="B1962" s="273"/>
      <c r="C1962" s="98"/>
      <c r="D1962" s="98"/>
      <c r="E1962" s="275"/>
    </row>
    <row r="1963" spans="1:5" ht="15">
      <c r="A1963" s="129"/>
      <c r="B1963" s="273"/>
      <c r="C1963" s="98"/>
      <c r="D1963" s="98"/>
      <c r="E1963" s="275"/>
    </row>
    <row r="1964" spans="1:5" ht="15">
      <c r="A1964" s="129"/>
      <c r="B1964" s="273"/>
      <c r="C1964" s="98"/>
      <c r="D1964" s="98"/>
      <c r="E1964" s="275"/>
    </row>
    <row r="1965" spans="1:5" ht="15">
      <c r="A1965" s="129"/>
      <c r="B1965" s="273"/>
      <c r="C1965" s="98"/>
      <c r="D1965" s="98"/>
      <c r="E1965" s="275"/>
    </row>
    <row r="1966" spans="1:5" ht="15">
      <c r="A1966" s="129"/>
      <c r="B1966" s="273"/>
      <c r="C1966" s="98"/>
      <c r="D1966" s="98"/>
      <c r="E1966" s="275"/>
    </row>
    <row r="1967" spans="1:5" ht="15">
      <c r="A1967" s="129"/>
      <c r="B1967" s="273"/>
      <c r="C1967" s="98"/>
      <c r="D1967" s="98"/>
      <c r="E1967" s="275"/>
    </row>
    <row r="1968" spans="1:5" ht="15">
      <c r="A1968" s="129"/>
      <c r="B1968" s="273"/>
      <c r="C1968" s="98"/>
      <c r="D1968" s="98"/>
      <c r="E1968" s="275"/>
    </row>
    <row r="1969" spans="1:5" ht="15">
      <c r="A1969" s="129"/>
      <c r="B1969" s="273"/>
      <c r="C1969" s="98"/>
      <c r="D1969" s="98"/>
      <c r="E1969" s="275"/>
    </row>
    <row r="1970" spans="1:5" ht="15">
      <c r="A1970" s="129"/>
      <c r="B1970" s="273"/>
      <c r="C1970" s="98"/>
      <c r="D1970" s="98"/>
      <c r="E1970" s="275"/>
    </row>
    <row r="1971" spans="1:5" ht="15">
      <c r="A1971" s="129"/>
      <c r="B1971" s="273"/>
      <c r="C1971" s="98"/>
      <c r="D1971" s="98"/>
      <c r="E1971" s="275"/>
    </row>
    <row r="1972" spans="1:5" ht="15">
      <c r="A1972" s="129"/>
      <c r="B1972" s="273"/>
      <c r="C1972" s="98"/>
      <c r="D1972" s="98"/>
      <c r="E1972" s="275"/>
    </row>
    <row r="1973" spans="1:5" ht="15">
      <c r="A1973" s="129"/>
      <c r="B1973" s="273"/>
      <c r="C1973" s="98"/>
      <c r="D1973" s="98"/>
      <c r="E1973" s="275"/>
    </row>
    <row r="1974" spans="1:5" ht="15">
      <c r="A1974" s="129"/>
      <c r="B1974" s="273"/>
      <c r="C1974" s="98"/>
      <c r="D1974" s="98"/>
      <c r="E1974" s="275"/>
    </row>
    <row r="1975" spans="1:5" ht="15">
      <c r="A1975" s="129"/>
      <c r="B1975" s="273"/>
      <c r="C1975" s="98"/>
      <c r="D1975" s="98"/>
      <c r="E1975" s="275"/>
    </row>
    <row r="1976" spans="1:5" ht="15">
      <c r="A1976" s="129"/>
      <c r="B1976" s="273"/>
      <c r="C1976" s="98"/>
      <c r="D1976" s="98"/>
      <c r="E1976" s="275"/>
    </row>
    <row r="1977" spans="1:5" ht="15">
      <c r="A1977" s="129"/>
      <c r="B1977" s="273"/>
      <c r="C1977" s="98"/>
      <c r="D1977" s="98"/>
      <c r="E1977" s="275"/>
    </row>
    <row r="1978" spans="1:5" ht="15">
      <c r="A1978" s="129"/>
      <c r="B1978" s="273"/>
      <c r="C1978" s="98"/>
      <c r="D1978" s="98"/>
      <c r="E1978" s="275"/>
    </row>
    <row r="1979" spans="1:5" ht="15">
      <c r="A1979" s="129"/>
      <c r="B1979" s="273"/>
      <c r="C1979" s="98"/>
      <c r="D1979" s="98"/>
      <c r="E1979" s="275"/>
    </row>
    <row r="1980" spans="1:5" ht="15">
      <c r="A1980" s="129"/>
      <c r="B1980" s="273"/>
      <c r="C1980" s="98"/>
      <c r="D1980" s="98"/>
      <c r="E1980" s="275"/>
    </row>
    <row r="1981" spans="1:5" ht="15">
      <c r="A1981" s="129"/>
      <c r="B1981" s="273"/>
      <c r="C1981" s="98"/>
      <c r="D1981" s="98"/>
      <c r="E1981" s="275"/>
    </row>
    <row r="1982" spans="1:5" ht="15">
      <c r="A1982" s="129"/>
      <c r="B1982" s="273"/>
      <c r="C1982" s="98"/>
      <c r="D1982" s="98"/>
      <c r="E1982" s="275"/>
    </row>
    <row r="1983" spans="1:5" ht="15">
      <c r="A1983" s="129"/>
      <c r="B1983" s="273"/>
      <c r="C1983" s="98"/>
      <c r="D1983" s="98"/>
      <c r="E1983" s="275"/>
    </row>
    <row r="1984" spans="1:5" ht="15">
      <c r="A1984" s="129"/>
      <c r="B1984" s="273"/>
      <c r="C1984" s="98"/>
      <c r="D1984" s="98"/>
      <c r="E1984" s="275"/>
    </row>
    <row r="1985" spans="1:5" ht="15">
      <c r="A1985" s="129"/>
      <c r="B1985" s="273"/>
      <c r="C1985" s="98"/>
      <c r="D1985" s="98"/>
      <c r="E1985" s="275"/>
    </row>
    <row r="1986" spans="1:5" ht="15">
      <c r="A1986" s="129"/>
      <c r="B1986" s="273"/>
      <c r="C1986" s="98"/>
      <c r="D1986" s="98"/>
      <c r="E1986" s="275"/>
    </row>
    <row r="1987" spans="1:5" ht="15">
      <c r="A1987" s="129"/>
      <c r="B1987" s="273"/>
      <c r="C1987" s="98"/>
      <c r="D1987" s="98"/>
      <c r="E1987" s="275"/>
    </row>
    <row r="1988" spans="1:5" ht="15">
      <c r="A1988" s="129"/>
      <c r="B1988" s="273"/>
      <c r="C1988" s="98"/>
      <c r="D1988" s="98"/>
      <c r="E1988" s="275"/>
    </row>
    <row r="1989" spans="1:5" ht="15">
      <c r="A1989" s="129"/>
      <c r="B1989" s="273"/>
      <c r="C1989" s="98"/>
      <c r="D1989" s="98"/>
      <c r="E1989" s="275"/>
    </row>
    <row r="1990" spans="1:5" ht="15">
      <c r="A1990" s="129"/>
      <c r="B1990" s="273"/>
      <c r="C1990" s="98"/>
      <c r="D1990" s="98"/>
      <c r="E1990" s="275"/>
    </row>
    <row r="1991" spans="1:5" ht="15">
      <c r="A1991" s="129"/>
      <c r="B1991" s="273"/>
      <c r="C1991" s="98"/>
      <c r="D1991" s="98"/>
      <c r="E1991" s="275"/>
    </row>
    <row r="1992" spans="1:5" ht="15">
      <c r="A1992" s="129"/>
      <c r="B1992" s="273"/>
      <c r="C1992" s="98"/>
      <c r="D1992" s="98"/>
      <c r="E1992" s="275"/>
    </row>
    <row r="1993" spans="1:5" ht="15">
      <c r="A1993" s="129"/>
      <c r="B1993" s="273"/>
      <c r="C1993" s="98"/>
      <c r="D1993" s="98"/>
      <c r="E1993" s="275"/>
    </row>
    <row r="1994" spans="1:5" ht="15">
      <c r="A1994" s="129"/>
      <c r="B1994" s="273"/>
      <c r="C1994" s="98"/>
      <c r="D1994" s="98"/>
      <c r="E1994" s="275"/>
    </row>
    <row r="1995" spans="1:5" ht="15">
      <c r="A1995" s="129"/>
      <c r="B1995" s="273"/>
      <c r="C1995" s="98"/>
      <c r="D1995" s="98"/>
      <c r="E1995" s="275"/>
    </row>
    <row r="1996" spans="1:5" ht="15">
      <c r="A1996" s="129"/>
      <c r="B1996" s="273"/>
      <c r="C1996" s="98"/>
      <c r="D1996" s="98"/>
      <c r="E1996" s="275"/>
    </row>
    <row r="1997" spans="1:5" ht="15">
      <c r="A1997" s="129"/>
      <c r="B1997" s="273"/>
      <c r="C1997" s="98"/>
      <c r="D1997" s="98"/>
      <c r="E1997" s="275"/>
    </row>
    <row r="1998" spans="1:5" ht="15">
      <c r="A1998" s="129"/>
      <c r="B1998" s="273"/>
      <c r="C1998" s="98"/>
      <c r="D1998" s="98"/>
      <c r="E1998" s="275"/>
    </row>
    <row r="1999" spans="1:5" ht="15">
      <c r="A1999" s="129"/>
      <c r="B1999" s="273"/>
      <c r="C1999" s="98"/>
      <c r="D1999" s="98"/>
      <c r="E1999" s="275"/>
    </row>
    <row r="2000" spans="1:5" ht="15">
      <c r="A2000" s="129"/>
      <c r="B2000" s="273"/>
      <c r="C2000" s="98"/>
      <c r="D2000" s="98"/>
      <c r="E2000" s="275"/>
    </row>
    <row r="2001" spans="1:5" ht="15">
      <c r="A2001" s="129"/>
      <c r="B2001" s="273"/>
      <c r="C2001" s="98"/>
      <c r="D2001" s="98"/>
      <c r="E2001" s="275"/>
    </row>
    <row r="2002" spans="1:5" ht="15">
      <c r="A2002" s="129"/>
      <c r="B2002" s="273"/>
      <c r="C2002" s="98"/>
      <c r="D2002" s="98"/>
      <c r="E2002" s="275"/>
    </row>
    <row r="2003" spans="1:5" ht="15">
      <c r="A2003" s="129"/>
      <c r="B2003" s="273"/>
      <c r="C2003" s="98"/>
      <c r="D2003" s="98"/>
      <c r="E2003" s="275"/>
    </row>
    <row r="2004" spans="1:5" ht="15">
      <c r="A2004" s="129"/>
      <c r="B2004" s="273"/>
      <c r="C2004" s="98"/>
      <c r="D2004" s="98"/>
      <c r="E2004" s="275"/>
    </row>
    <row r="2005" spans="1:5" ht="15">
      <c r="A2005" s="129"/>
      <c r="B2005" s="273"/>
      <c r="C2005" s="98"/>
      <c r="D2005" s="98"/>
      <c r="E2005" s="275"/>
    </row>
    <row r="2006" spans="1:5" ht="13.4" customHeight="1" thickBot="1">
      <c r="A2006" s="130"/>
      <c r="B2006" s="406" t="str">
        <f ca="1">OFFSET(L!$C$1,MATCH("General"&amp;"Cpy",L!$A:$A,0)-1,SL,,)</f>
        <v>© 2024 Responsible Minerals Initiative. All rights reserved.</v>
      </c>
      <c r="C2006" s="406"/>
      <c r="D2006" s="406"/>
      <c r="E2006" s="278"/>
    </row>
    <row r="2007" spans="1:5" ht="14" thickTop="1">
      <c r="D2007" s="280"/>
    </row>
  </sheetData>
  <sheetProtection sheet="1" formatCells="0" formatColumns="0" formatRows="0" insertColumns="0" insertRows="0" insertHyperlinks="0" deleteColumns="0" deleteRows="0" sort="0" autoFilter="0" pivotTables="0"/>
  <customSheetViews>
    <customSheetView guid="{51531B83-BDD7-4890-A744-04812A317369}" scale="70" outlineSymbols="0" zeroValues="0" fitToPage="1">
      <pane xSplit="2" ySplit="5" topLeftCell="C6" activePane="bottomRight" state="frozen"/>
      <selection pane="bottomRight" activeCell="B6" sqref="B6"/>
    </customSheetView>
  </customSheetViews>
  <mergeCells count="3">
    <mergeCell ref="B4:D4"/>
    <mergeCell ref="A1:D1"/>
    <mergeCell ref="B2006:D2006"/>
  </mergeCells>
  <phoneticPr fontId="83"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40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7"/>
      <c r="C1" s="407"/>
      <c r="D1" s="407"/>
      <c r="E1" s="407"/>
      <c r="F1" s="407"/>
      <c r="G1" s="407"/>
    </row>
    <row r="2" spans="1:11">
      <c r="A2" s="408"/>
      <c r="B2" s="408"/>
      <c r="C2" s="408"/>
      <c r="D2" s="408"/>
      <c r="E2" s="408"/>
      <c r="F2" s="408"/>
      <c r="G2" s="408"/>
      <c r="H2" s="408"/>
      <c r="I2" s="408"/>
    </row>
    <row r="3" spans="1:11">
      <c r="A3" s="408"/>
      <c r="B3" s="408"/>
      <c r="C3" s="408"/>
      <c r="D3" s="408"/>
      <c r="E3" s="408"/>
      <c r="F3" s="408"/>
      <c r="G3" s="408"/>
      <c r="H3" s="408"/>
      <c r="I3" s="40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sheet="1" formatCells="0" formatColumns="0" formatRows="0" insertColumns="0" insertRows="0" insertHyperlinks="0" deleteColumns="0" deleteRows="0" sort="0" autoFilter="0" pivotTables="0"/>
  <autoFilter ref="A4:I608" xr:uid="{00000000-0009-0000-0000-000007000000}"/>
  <customSheetViews>
    <customSheetView guid="{51531B83-BDD7-4890-A744-04812A317369}" scale="85" outlineSymbols="0" zeroValues="0" hiddenColumns="1">
      <pane ySplit="4" topLeftCell="A278" activePane="bottomLeft" state="frozen"/>
      <selection pane="bottomLeft" activeCell="B279" sqref="B279"/>
    </customSheetView>
  </customSheetViews>
  <mergeCells count="2">
    <mergeCell ref="A1:G1"/>
    <mergeCell ref="A2:I3"/>
  </mergeCells>
  <phoneticPr fontId="83" type="noConversion"/>
  <conditionalFormatting sqref="J5:J664">
    <cfRule type="cellIs" dxfId="0" priority="1" stopIfTrue="1" operator="equal">
      <formula>"Yes"</formula>
    </cfRule>
  </conditionalFormatting>
  <pageMargins left="0.7" right="0.7" top="0.75" bottom="0.75" header="0.3" footer="0.3"/>
  <pageSetup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7.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77">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38">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01.5">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4.5">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351">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87">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0.5">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67.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1">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08">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24">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01.5">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89">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297">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5">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81">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1.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3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56.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3">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89">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40.5">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5">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14.5">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14.5">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14.5">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5">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14.5">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14.5">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5">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6">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4">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4">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4">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4">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4">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4">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4">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0.5">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outlineSymbols="0" zeroValues="0">
      <selection activeCell="D2" sqref="D2"/>
    </customSheetView>
  </customSheetViews>
  <phoneticPr fontId="83" type="noConversion"/>
  <pageMargins left="0.7" right="0.7" top="0.75" bottom="0.75" header="0.3" footer="0.3"/>
  <pageSetup paperSize="9" fitToHeight="0"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ref="A2:B250">
    <sortCondition ref="B2:B250"/>
  </sortState>
  <customSheetViews>
    <customSheetView guid="{51531B83-BDD7-4890-A744-04812A317369}" outlineSymbols="0" zeroValues="0" showAutoFilter="1" state="hidden" topLeftCell="A46">
      <selection activeCell="B14" sqref="B14"/>
      <autoFilter ref="A1:B1" xr:uid="{00000000-0000-0000-0000-000000000000}"/>
    </customSheetView>
  </customSheetViews>
  <phoneticPr fontId="83" type="noConversion"/>
  <pageMargins left="0.7" right="0.7" top="0.75" bottom="0.75" header="0.3" footer="0.3"/>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9-0000-0000-00000A000000}"/>
  <customSheetViews>
    <customSheetView guid="{51531B83-BDD7-4890-A744-04812A317369}" outlineSymbols="0" zeroValues="0" showAutoFilter="1" state="hidden" topLeftCell="A2163">
      <selection activeCell="E2176" sqref="E2176"/>
      <autoFilter ref="A1:B6231" xr:uid="{00000000-0000-0000-0000-000000000000}"/>
    </customSheetView>
  </customSheetViews>
  <phoneticPr fontId="83" type="noConversion"/>
  <pageMargins left="0.7" right="0.7" top="0.75" bottom="0.75" header="0.3" footer="0.3"/>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6e8a5f3d-031c-4996-804e-0e28298fe1e2"/>
    <ds:schemaRef ds:uri="http://schemas.microsoft.com/office/2006/documentManagement/types"/>
    <ds:schemaRef ds:uri="http://purl.org/dc/terms/"/>
    <ds:schemaRef ds:uri="http://schemas.microsoft.com/office/infopath/2007/PartnerControls"/>
    <ds:schemaRef ds:uri="http://www.w3.org/XML/1998/namespace"/>
    <ds:schemaRef ds:uri="http://purl.org/dc/dcmitype/"/>
    <ds:schemaRef ds:uri="http://schemas.openxmlformats.org/package/2006/metadata/core-properties"/>
    <ds:schemaRef ds:uri="a54701f6-876b-4337-a24e-543e1bd311e6"/>
    <ds:schemaRef ds:uri="http://schemas.microsoft.com/office/2006/metadata/properties"/>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具名範圍</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Winson Lin</cp:lastModifiedBy>
  <cp:lastPrinted>2015-04-21T20:47:43Z</cp:lastPrinted>
  <dcterms:created xsi:type="dcterms:W3CDTF">2010-06-21T21:00:23Z</dcterms:created>
  <dcterms:modified xsi:type="dcterms:W3CDTF">2025-04-08T05:31:10Z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Generator">
    <vt:lpwstr>NPOI</vt:lpwstr>
  </property>
  <property fmtid="{D5CDD505-2E9C-101B-9397-08002B2CF9AE}" pid="6" name="Generator Version">
    <vt:lpwstr>2.4.1</vt:lpwstr>
  </property>
</Properties>
</file>