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D:\Customer require\Declaration\責任礦產\EMRT\"/>
    </mc:Choice>
  </mc:AlternateContent>
  <xr:revisionPtr revIDLastSave="0" documentId="8_{BD202CA6-80B5-40C5-9006-404B69F64FA3}" xr6:coauthVersionLast="36" xr6:coauthVersionMax="36" xr10:uidLastSave="{00000000-0000-0000-0000-000000000000}"/>
  <workbookProtection lockStructure="1"/>
  <bookViews>
    <workbookView xWindow="0" yWindow="0" windowWidth="19200" windowHeight="80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alcOnSave="0" concurrentCalc="0"/>
  <customWorkbookViews>
    <customWorkbookView name="Michele Brulhart - Personal View" guid="{C59130F4-2E03-5E48-94CE-6E4A0484DB9E}" personalView="1" includePrintSettings="0" includeHiddenRowCol="0" showHorizontalScroll="0" showVerticalScroll="0" showSheetTabs="0" xWindow="240" yWindow="120" windowWidth="1788" windowHeight="572" tabRatio="789" activeSheetId="9" showFormulaBar="0" showStatusbar="0"/>
    <customWorkbookView name="Connors, Jared M - Personal View" guid="{81CF54B1-70AB-4A68-BB72-21925B5D4874}" personalView="1" includePrintSettings="0" includeHiddenRowCol="0" maximized="1" showHorizontalScroll="0" showVerticalScroll="0" showSheetTabs="0" xWindow="1" yWindow="1" windowWidth="1436" windowHeight="673" tabRatio="675" activeSheetId="4" showFormulaBar="0" showStatusbar="0"/>
    <customWorkbookView name="Kenneth Anderson - Personal View" guid="{4BDF1A28-30D5-449D-B20E-D6C97EF9FAE1}" personalView="1" includePrintSettings="0" includeHiddenRowCol="0" maximized="1" showHorizontalScroll="0" showVerticalScroll="0" showSheetTabs="0" xWindow="240" yWindow="-8" windowWidth="1936" windowHeight="1056" tabRatio="789" activeSheetId="4" showFormulaBar="0" showStatusbar="0"/>
  </customWorkbookViews>
</workbook>
</file>

<file path=xl/calcChain.xml><?xml version="1.0" encoding="utf-8"?>
<calcChain xmlns="http://schemas.openxmlformats.org/spreadsheetml/2006/main">
  <c r="T6" i="5" l="1"/>
  <c r="S7" i="5"/>
  <c r="T7" i="5"/>
  <c r="S8" i="5"/>
  <c r="T8" i="5"/>
  <c r="T9" i="5"/>
  <c r="S10" i="5"/>
  <c r="T10"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T27" i="5"/>
  <c r="T28" i="5"/>
  <c r="S29" i="5"/>
  <c r="T29" i="5"/>
  <c r="T30" i="5"/>
  <c r="S31" i="5"/>
  <c r="T31" i="5"/>
  <c r="S32" i="5"/>
  <c r="T32" i="5"/>
  <c r="S33" i="5"/>
  <c r="T33" i="5"/>
  <c r="S34" i="5"/>
  <c r="T34" i="5"/>
  <c r="S35" i="5"/>
  <c r="T35" i="5"/>
  <c r="S36" i="5"/>
  <c r="T36" i="5"/>
  <c r="T37" i="5"/>
  <c r="T38" i="5"/>
  <c r="S39" i="5"/>
  <c r="T39" i="5"/>
  <c r="S40" i="5"/>
  <c r="T40" i="5"/>
  <c r="S41" i="5"/>
  <c r="T41" i="5"/>
  <c r="T42" i="5"/>
  <c r="T43" i="5"/>
  <c r="S44" i="5"/>
  <c r="T44" i="5"/>
  <c r="S45" i="5"/>
  <c r="T45" i="5"/>
  <c r="S46" i="5"/>
  <c r="T46" i="5"/>
  <c r="S47" i="5"/>
  <c r="T47" i="5"/>
  <c r="S48" i="5"/>
  <c r="T48" i="5"/>
  <c r="T49" i="5"/>
  <c r="S50" i="5"/>
  <c r="T50" i="5"/>
  <c r="T51"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T67" i="5"/>
  <c r="T68"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T120" i="5"/>
  <c r="S121" i="5"/>
  <c r="T121" i="5"/>
  <c r="S122" i="5"/>
  <c r="T122"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T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V5" i="5"/>
  <c r="S5" i="5"/>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B7" i="6"/>
  <c r="G7" i="6"/>
  <c r="H7" i="6"/>
  <c r="B9" i="6"/>
  <c r="G9" i="6"/>
  <c r="H9" i="6"/>
  <c r="B10" i="6"/>
  <c r="G10" i="6"/>
  <c r="H10" i="6"/>
  <c r="B12" i="6"/>
  <c r="G12" i="6"/>
  <c r="H12" i="6"/>
  <c r="B13" i="6"/>
  <c r="G13" i="6"/>
  <c r="H13" i="6"/>
  <c r="H14" i="6"/>
  <c r="B17" i="6"/>
  <c r="G17" i="6"/>
  <c r="H17" i="6"/>
  <c r="G18" i="6"/>
  <c r="H18" i="6"/>
  <c r="F25" i="6"/>
  <c r="B25" i="6"/>
  <c r="G25" i="6"/>
  <c r="H25" i="6"/>
  <c r="B29" i="6"/>
  <c r="G29" i="6"/>
  <c r="H29" i="6"/>
  <c r="F30" i="6"/>
  <c r="B30" i="6"/>
  <c r="G30" i="6"/>
  <c r="H30" i="6"/>
  <c r="F35" i="6"/>
  <c r="B35" i="6"/>
  <c r="G35" i="6"/>
  <c r="H35" i="6"/>
  <c r="F40" i="6"/>
  <c r="B40" i="6"/>
  <c r="G40" i="6"/>
  <c r="H40" i="6"/>
  <c r="F45" i="6"/>
  <c r="B45" i="6"/>
  <c r="G45" i="6"/>
  <c r="H45" i="6"/>
  <c r="F59" i="6"/>
  <c r="G59" i="6"/>
  <c r="H59"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B59" i="6"/>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R77"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29"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R107" i="5"/>
  <c r="R99"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R44" i="5"/>
  <c r="R11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R92" i="5"/>
  <c r="I212" i="5"/>
  <c r="J212" i="5"/>
  <c r="F212" i="5"/>
  <c r="R212" i="5"/>
  <c r="H212" i="5"/>
  <c r="G212" i="5"/>
  <c r="R52" i="5"/>
  <c r="R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1984" i="5"/>
  <c r="R1784" i="5"/>
  <c r="G163" i="5"/>
  <c r="G373" i="5"/>
  <c r="H373"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S398" i="5"/>
  <c r="F543" i="5"/>
  <c r="G543" i="5"/>
  <c r="S601" i="5"/>
  <c r="S672" i="5"/>
  <c r="S954" i="5"/>
  <c r="S960" i="5"/>
  <c r="S1030" i="5"/>
  <c r="S1142" i="5"/>
  <c r="S144" i="5"/>
  <c r="S790" i="5"/>
  <c r="S890" i="5"/>
  <c r="S854" i="5"/>
  <c r="S162" i="5"/>
  <c r="H472" i="5"/>
  <c r="F472" i="5"/>
  <c r="H302" i="5"/>
  <c r="G302" i="5"/>
  <c r="J302" i="5"/>
  <c r="S175" i="5"/>
  <c r="S181" i="5"/>
  <c r="S1000" i="5"/>
  <c r="S1006" i="5"/>
  <c r="S1012" i="5"/>
  <c r="S1018" i="5"/>
  <c r="S1047" i="5"/>
  <c r="S1064" i="5"/>
  <c r="S1070" i="5"/>
  <c r="S1082" i="5"/>
  <c r="G985" i="5"/>
  <c r="R89" i="5"/>
  <c r="R41"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R660" i="5"/>
  <c r="R564"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504" i="5"/>
  <c r="S202" i="5"/>
  <c r="J579" i="5"/>
  <c r="G1492" i="5"/>
  <c r="R1038" i="5"/>
  <c r="R468" i="5"/>
  <c r="F468" i="5"/>
  <c r="J1068" i="5"/>
  <c r="F1068" i="5"/>
  <c r="S194" i="5"/>
  <c r="S350" i="5"/>
  <c r="S458" i="5"/>
  <c r="S250" i="5"/>
  <c r="S188" i="5"/>
  <c r="F516" i="5"/>
  <c r="G472" i="5"/>
  <c r="F1644" i="5"/>
  <c r="H1654" i="5"/>
  <c r="I1020" i="5"/>
  <c r="G516" i="5"/>
  <c r="R516" i="5"/>
  <c r="G1564" i="5"/>
  <c r="F1564" i="5"/>
  <c r="S170"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38" i="5"/>
  <c r="S52" i="5"/>
  <c r="S30" i="5"/>
  <c r="S42" i="5"/>
  <c r="S28"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R140" i="5"/>
  <c r="J755" i="5"/>
  <c r="H2328" i="5"/>
  <c r="G364" i="5"/>
  <c r="I2366" i="5"/>
  <c r="F2406" i="5"/>
  <c r="J680" i="5"/>
  <c r="R510" i="5"/>
  <c r="H2271" i="5"/>
  <c r="J2271" i="5"/>
  <c r="J638" i="5"/>
  <c r="H2206" i="5"/>
  <c r="H839" i="5"/>
  <c r="I1104" i="5"/>
  <c r="I638" i="5"/>
  <c r="J1167" i="5"/>
  <c r="G1574" i="5"/>
  <c r="J510" i="5"/>
  <c r="F207" i="5"/>
  <c r="G791" i="5"/>
  <c r="R2271" i="5"/>
  <c r="R598" i="5"/>
  <c r="I510" i="5"/>
  <c r="H347" i="5"/>
  <c r="G2206" i="5"/>
  <c r="J1411" i="5"/>
  <c r="H967" i="5"/>
  <c r="J207" i="5"/>
  <c r="I839" i="5"/>
  <c r="F2271" i="5"/>
  <c r="I680" i="5"/>
  <c r="F510"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604" i="5"/>
  <c r="J1024" i="5"/>
  <c r="G2375" i="5"/>
  <c r="R1823" i="5"/>
  <c r="I2152" i="5"/>
  <c r="J1171" i="5"/>
  <c r="I1267" i="5"/>
  <c r="R81" i="5"/>
  <c r="I316" i="5"/>
  <c r="F540" i="5"/>
  <c r="G140" i="5"/>
  <c r="F1499" i="5"/>
  <c r="H2486" i="5"/>
  <c r="G2486" i="5"/>
  <c r="H747" i="5"/>
  <c r="H2316" i="5"/>
  <c r="J2316" i="5"/>
  <c r="J364"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H1823" i="5"/>
  <c r="I1503" i="5"/>
  <c r="G2333" i="5"/>
  <c r="F1454" i="5"/>
  <c r="I772" i="5"/>
  <c r="H2366" i="5"/>
  <c r="J2366" i="5"/>
  <c r="J2279" i="5"/>
  <c r="G1608" i="5"/>
  <c r="H271" i="5"/>
  <c r="J1551" i="5"/>
  <c r="J248" i="5"/>
  <c r="H587" i="5"/>
  <c r="R475" i="5"/>
  <c r="F919" i="5"/>
  <c r="I1823" i="5"/>
  <c r="I1031" i="5"/>
  <c r="G551" i="5"/>
  <c r="F312" i="5"/>
  <c r="J320" i="5"/>
  <c r="F475" i="5"/>
  <c r="H919" i="5"/>
  <c r="J2046" i="5"/>
  <c r="J312" i="5"/>
  <c r="R271" i="5"/>
  <c r="H895" i="5"/>
  <c r="F895"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460" i="5"/>
  <c r="I1879" i="5"/>
  <c r="F1935" i="5"/>
  <c r="H1879" i="5"/>
  <c r="S184" i="5"/>
  <c r="H768" i="5"/>
  <c r="S1180" i="5"/>
  <c r="S833" i="5"/>
  <c r="S898" i="5"/>
  <c r="S216" i="5"/>
  <c r="S159" i="5"/>
  <c r="G446" i="5"/>
  <c r="J859" i="5"/>
  <c r="R1935" i="5"/>
  <c r="S494" i="5"/>
  <c r="S786" i="5"/>
  <c r="S988" i="5"/>
  <c r="S1230" i="5"/>
  <c r="S527" i="5"/>
  <c r="S1173" i="5"/>
  <c r="D35"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R64" i="5"/>
  <c r="R862" i="5"/>
  <c r="H862" i="5"/>
  <c r="R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F128" i="5"/>
  <c r="H534" i="5"/>
  <c r="F1174" i="5"/>
  <c r="J1190" i="5"/>
  <c r="I779" i="5"/>
  <c r="H1679" i="5"/>
  <c r="S1930" i="5"/>
  <c r="S1749" i="5"/>
  <c r="I1647" i="5"/>
  <c r="H1583" i="5"/>
  <c r="S1841" i="5"/>
  <c r="S1375" i="5"/>
  <c r="J1384" i="5"/>
  <c r="S700" i="5"/>
  <c r="F126" i="5"/>
  <c r="J150" i="5"/>
  <c r="F190" i="5"/>
  <c r="J832" i="5"/>
  <c r="H992" i="5"/>
  <c r="I128" i="5"/>
  <c r="H1190" i="5"/>
  <c r="F327" i="5"/>
  <c r="G1679" i="5"/>
  <c r="H1647" i="5"/>
  <c r="I1519" i="5"/>
  <c r="H1384" i="5"/>
  <c r="J126" i="5"/>
  <c r="J190"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R2159" i="5"/>
  <c r="I2159" i="5"/>
  <c r="H2159" i="5"/>
  <c r="F2159"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R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2279" i="5"/>
  <c r="R2279" i="5"/>
  <c r="R2405" i="5"/>
  <c r="G1901" i="5"/>
  <c r="F399" i="5"/>
  <c r="F2079" i="5"/>
  <c r="G2079"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B12" i="3"/>
  <c r="H1302" i="5"/>
  <c r="F1566" i="5"/>
  <c r="F2179" i="5"/>
  <c r="H2195" i="5"/>
  <c r="G950" i="5"/>
  <c r="I1630" i="5"/>
  <c r="R1111" i="5"/>
  <c r="R272" i="5"/>
  <c r="G272" i="5"/>
  <c r="S320" i="5"/>
  <c r="G2064" i="5"/>
  <c r="F2064" i="5"/>
  <c r="I2064" i="5"/>
  <c r="R2488" i="5"/>
  <c r="F407" i="5"/>
  <c r="F1327" i="5"/>
  <c r="I768"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F231" i="5"/>
  <c r="I1894" i="5"/>
  <c r="G166" i="5"/>
  <c r="J166" i="5"/>
  <c r="F166" i="5"/>
  <c r="H166" i="5"/>
  <c r="R102" i="5"/>
  <c r="R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142" i="5"/>
  <c r="F206" i="5"/>
  <c r="F920" i="5"/>
  <c r="G1323"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06" i="5"/>
  <c r="R1550" i="5"/>
  <c r="J1323" i="5"/>
  <c r="F990" i="5"/>
  <c r="G1511" i="5"/>
  <c r="I2254" i="5"/>
  <c r="H2375" i="5"/>
  <c r="G903" i="5"/>
  <c r="I2435" i="5"/>
  <c r="I1680" i="5"/>
  <c r="I1464" i="5"/>
  <c r="F2435" i="5"/>
  <c r="S186" i="5"/>
  <c r="R1464" i="5"/>
  <c r="F1302" i="5"/>
  <c r="S1775" i="5"/>
  <c r="J264" i="5"/>
  <c r="H2413" i="5"/>
  <c r="J1464" i="5"/>
  <c r="I1323" i="5"/>
  <c r="I1302"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R142" i="5"/>
  <c r="H920" i="5"/>
  <c r="F1855" i="5"/>
  <c r="I1435" i="5"/>
  <c r="J560" i="5"/>
  <c r="G560" i="5"/>
  <c r="H264" i="5"/>
  <c r="J2300" i="5"/>
  <c r="F2375" i="5"/>
  <c r="R22"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1211" i="5"/>
  <c r="J1179" i="5"/>
  <c r="J315" i="5"/>
  <c r="J2243" i="5"/>
  <c r="H2094" i="5"/>
  <c r="R1643" i="5"/>
  <c r="I435" i="5"/>
  <c r="G1211" i="5"/>
  <c r="F1275" i="5"/>
  <c r="I1483" i="5"/>
  <c r="J839" i="5"/>
  <c r="S393" i="5"/>
  <c r="R32" i="5"/>
  <c r="I176" i="5"/>
  <c r="R1243" i="5"/>
  <c r="I2243" i="5"/>
  <c r="R2094" i="5"/>
  <c r="G2107" i="5"/>
  <c r="R1451" i="5"/>
  <c r="F1879" i="5"/>
  <c r="F429" i="5"/>
  <c r="J1211" i="5"/>
  <c r="G1272" i="5"/>
  <c r="S2439" i="5"/>
  <c r="G2230" i="5"/>
  <c r="R70" i="5"/>
  <c r="I134" i="5"/>
  <c r="H198" i="5"/>
  <c r="H1000" i="5"/>
  <c r="R48" i="5"/>
  <c r="H751" i="5"/>
  <c r="F2243" i="5"/>
  <c r="J2107" i="5"/>
  <c r="G355" i="5"/>
  <c r="J1451" i="5"/>
  <c r="S311" i="5"/>
  <c r="F198" i="5"/>
  <c r="H176" i="5"/>
  <c r="H2243" i="5"/>
  <c r="R1167" i="5"/>
  <c r="F355" i="5"/>
  <c r="R2263" i="5"/>
  <c r="I355" i="5"/>
  <c r="F2094" i="5"/>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H983" i="5"/>
  <c r="R1303" i="5"/>
  <c r="H1751" i="5"/>
  <c r="F1079" i="5"/>
  <c r="G2182" i="5"/>
  <c r="G1863" i="5"/>
  <c r="R1863" i="5"/>
  <c r="H1863" i="5"/>
  <c r="F1863" i="5"/>
  <c r="S160"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G723" i="5"/>
  <c r="I887" i="5"/>
  <c r="H1711" i="5"/>
  <c r="F1511" i="5"/>
  <c r="H2491" i="5"/>
  <c r="R1499" i="5"/>
  <c r="J2183" i="5"/>
  <c r="R1435" i="5"/>
  <c r="R2254" i="5"/>
  <c r="G1019" i="5"/>
  <c r="J1083" i="5"/>
  <c r="S565" i="5"/>
  <c r="S466" i="5"/>
  <c r="H1499" i="5"/>
  <c r="F1435" i="5"/>
  <c r="S513" i="5"/>
  <c r="F371" i="5"/>
  <c r="H755" i="5"/>
  <c r="H887" i="5"/>
  <c r="R1711" i="5"/>
  <c r="J1499" i="5"/>
  <c r="F2438" i="5"/>
  <c r="R2183" i="5"/>
  <c r="G2459" i="5"/>
  <c r="H1435" i="5"/>
  <c r="F1711" i="5"/>
  <c r="G2254" i="5"/>
  <c r="I2491" i="5"/>
  <c r="H2015" i="5"/>
  <c r="H575" i="5"/>
  <c r="I391" i="5"/>
  <c r="S433" i="5"/>
  <c r="S994" i="5"/>
  <c r="S705" i="5"/>
  <c r="H880" i="5"/>
  <c r="H128" i="5"/>
  <c r="F424" i="5"/>
  <c r="I544" i="5"/>
  <c r="F350"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S879" i="5"/>
  <c r="S741" i="5"/>
  <c r="H1351" i="5"/>
  <c r="S826" i="5"/>
  <c r="S839"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A23" i="2"/>
  <c r="A5" i="2"/>
  <c r="C2" i="6"/>
  <c r="D59" i="6"/>
  <c r="R520" i="5"/>
  <c r="H731" i="5"/>
  <c r="H182" i="5"/>
  <c r="R342" i="5"/>
  <c r="J912" i="5"/>
  <c r="H1614" i="5"/>
  <c r="R224" i="5"/>
  <c r="R1528" i="5"/>
  <c r="J1592" i="5"/>
  <c r="G342" i="5"/>
  <c r="H1203" i="5"/>
  <c r="J1299" i="5"/>
  <c r="R2192" i="5"/>
  <c r="I2415" i="5"/>
  <c r="I824" i="5"/>
  <c r="H976" i="5"/>
  <c r="R2336" i="5"/>
  <c r="H1245" i="5"/>
  <c r="G1062" i="5"/>
  <c r="H520" i="5"/>
  <c r="R912" i="5"/>
  <c r="I1040" i="5"/>
  <c r="I1614" i="5"/>
  <c r="J160" i="5"/>
  <c r="J342" i="5"/>
  <c r="I336" i="5"/>
  <c r="R54"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182" i="5"/>
  <c r="J1040" i="5"/>
  <c r="J1550" i="5"/>
  <c r="R1614" i="5"/>
  <c r="J224" i="5"/>
  <c r="J272" i="5"/>
  <c r="H568" i="5"/>
  <c r="F1680" i="5"/>
  <c r="R2421" i="5"/>
  <c r="G1614" i="5"/>
  <c r="I2304" i="5"/>
  <c r="R400" i="5"/>
  <c r="F400" i="5"/>
  <c r="I1476" i="5"/>
  <c r="F1062" i="5"/>
  <c r="J182" i="5"/>
  <c r="F520" i="5"/>
  <c r="I976" i="5"/>
  <c r="J1476" i="5"/>
  <c r="H224" i="5"/>
  <c r="G336" i="5"/>
  <c r="H1680" i="5"/>
  <c r="H160" i="5"/>
  <c r="R464" i="5"/>
  <c r="I342" i="5"/>
  <c r="R36" i="5"/>
  <c r="J998" i="5"/>
  <c r="J1680" i="5"/>
  <c r="R1680" i="5"/>
  <c r="H600" i="5"/>
  <c r="I2421" i="5"/>
  <c r="F2304" i="5"/>
  <c r="R1235" i="5"/>
  <c r="I1245" i="5"/>
  <c r="F998" i="5"/>
  <c r="G998" i="5"/>
  <c r="R118" i="5"/>
  <c r="I182" i="5"/>
  <c r="J520" i="5"/>
  <c r="H912" i="5"/>
  <c r="F976" i="5"/>
  <c r="I1550" i="5"/>
  <c r="R160" i="5"/>
  <c r="I224" i="5"/>
  <c r="J400" i="5"/>
  <c r="H342" i="5"/>
  <c r="I1424" i="5"/>
  <c r="H99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R72" i="5"/>
  <c r="H1313"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R35"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R88" i="5"/>
  <c r="R46" i="5"/>
  <c r="R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J30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R63" i="5"/>
  <c r="R95"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R80" i="5"/>
  <c r="R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500" i="5"/>
  <c r="G1193" i="5"/>
  <c r="J1041" i="5"/>
  <c r="H2329" i="5"/>
  <c r="I921" i="5"/>
  <c r="H1041" i="5"/>
  <c r="J341" i="5"/>
  <c r="I461"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J2231" i="5"/>
  <c r="I2399" i="5"/>
  <c r="F1500" i="5"/>
  <c r="G1500" i="5"/>
  <c r="R2400" i="5"/>
  <c r="R113" i="5"/>
  <c r="F181" i="5"/>
  <c r="J1557" i="5"/>
  <c r="I517" i="5"/>
  <c r="F2277" i="5"/>
  <c r="G381" i="5"/>
  <c r="F2368" i="5"/>
  <c r="G2368"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J614" i="5"/>
  <c r="S543" i="5"/>
  <c r="S471" i="5"/>
  <c r="J478" i="5"/>
  <c r="S1048" i="5"/>
  <c r="G455" i="5"/>
  <c r="I455" i="5"/>
  <c r="S539" i="5"/>
  <c r="F622" i="5"/>
  <c r="S485" i="5"/>
  <c r="S1057" i="5"/>
  <c r="G1415" i="5"/>
  <c r="S716" i="5"/>
  <c r="S693"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142" i="5"/>
  <c r="H206" i="5"/>
  <c r="J848" i="5"/>
  <c r="J1072" i="5"/>
  <c r="R1191" i="5"/>
  <c r="F1223" i="5"/>
  <c r="F1255" i="5"/>
  <c r="J1287" i="5"/>
  <c r="F1319" i="5"/>
  <c r="J184" i="5"/>
  <c r="H735" i="5"/>
  <c r="F996"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H671" i="5"/>
  <c r="R729" i="5"/>
  <c r="G577"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I2079" i="5"/>
  <c r="F1326" i="5"/>
  <c r="R953" i="5"/>
  <c r="G167" i="5"/>
  <c r="R656" i="5"/>
  <c r="H2498" i="5"/>
  <c r="F2499" i="5"/>
  <c r="R2499" i="5"/>
  <c r="J2499" i="5"/>
  <c r="I2499" i="5"/>
  <c r="H2499" i="5"/>
  <c r="J185" i="5"/>
  <c r="J1526" i="5"/>
  <c r="R630" i="5"/>
  <c r="R43" i="5"/>
  <c r="S1498" i="5"/>
  <c r="R1702" i="5"/>
  <c r="S495" i="5"/>
  <c r="S481" i="5"/>
  <c r="S1412" i="5"/>
  <c r="S414" i="5"/>
  <c r="S1446" i="5"/>
  <c r="F385" i="5"/>
  <c r="I1526" i="5"/>
  <c r="R2334" i="5"/>
  <c r="S407"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R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R385" i="5"/>
  <c r="J599" i="5"/>
  <c r="I651" i="5"/>
  <c r="F639" i="5"/>
  <c r="R575" i="5"/>
  <c r="R1992" i="5"/>
  <c r="G1727" i="5"/>
  <c r="R1760" i="5"/>
  <c r="F720" i="5"/>
  <c r="J1047" i="5"/>
  <c r="R311" i="5"/>
  <c r="R115" i="5"/>
  <c r="J726" i="5"/>
  <c r="G1047" i="5"/>
  <c r="J611" i="5"/>
  <c r="J311" i="5"/>
  <c r="R611" i="5"/>
  <c r="I575" i="5"/>
  <c r="G2187" i="5"/>
  <c r="I2187" i="5"/>
  <c r="H1992" i="5"/>
  <c r="G1783" i="5"/>
  <c r="J2187" i="5"/>
  <c r="I311" i="5"/>
  <c r="I179" i="5"/>
  <c r="I2008" i="5"/>
  <c r="G539" i="5"/>
  <c r="R2187" i="5"/>
  <c r="G1992" i="5"/>
  <c r="I539" i="5"/>
  <c r="H179" i="5"/>
  <c r="F1571" i="5"/>
  <c r="G311" i="5"/>
  <c r="H539" i="5"/>
  <c r="G179" i="5"/>
  <c r="G575" i="5"/>
  <c r="R639" i="5"/>
  <c r="R179" i="5"/>
  <c r="J1982" i="5"/>
  <c r="G1571" i="5"/>
  <c r="G782" i="5"/>
  <c r="H1727" i="5"/>
  <c r="F513" i="5"/>
  <c r="I1145" i="5"/>
  <c r="I1985" i="5"/>
  <c r="J217" i="5"/>
  <c r="J2310" i="5"/>
  <c r="R2310" i="5"/>
  <c r="I2310" i="5"/>
  <c r="G2310" i="5"/>
  <c r="G2253" i="5"/>
  <c r="J2253" i="5"/>
  <c r="I2253" i="5"/>
  <c r="H2253" i="5"/>
  <c r="F632" i="5"/>
  <c r="J632" i="5"/>
  <c r="F1329" i="5"/>
  <c r="R985" i="5"/>
  <c r="J417" i="5"/>
  <c r="R1457" i="5"/>
  <c r="G632" i="5"/>
  <c r="G739" i="5"/>
  <c r="R739" i="5"/>
  <c r="I1601" i="5"/>
  <c r="R1145" i="5"/>
  <c r="R138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G803" i="5"/>
  <c r="R27" i="5"/>
  <c r="R53" i="5"/>
  <c r="R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G977" i="5"/>
  <c r="I832" i="5"/>
  <c r="F928" i="5"/>
  <c r="H1456" i="5"/>
  <c r="R1488" i="5"/>
  <c r="F1529" i="5"/>
  <c r="G2497" i="5"/>
  <c r="J1657" i="5"/>
  <c r="F497" i="5"/>
  <c r="I697" i="5"/>
  <c r="R873" i="5"/>
  <c r="F1457" i="5"/>
  <c r="J1033" i="5"/>
  <c r="G873" i="5"/>
  <c r="I784" i="5"/>
  <c r="H832" i="5"/>
  <c r="J928" i="5"/>
  <c r="G1456" i="5"/>
  <c r="R1456" i="5"/>
  <c r="F1315" i="5"/>
  <c r="H784" i="5"/>
  <c r="G1488" i="5"/>
  <c r="I128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R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R79" i="5"/>
  <c r="R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R457" i="5"/>
  <c r="H217" i="5"/>
  <c r="G1506" i="5"/>
  <c r="H1506" i="5"/>
  <c r="J964" i="5"/>
  <c r="I964" i="5"/>
  <c r="F964"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S282" i="5"/>
  <c r="F760" i="5"/>
  <c r="J760" i="5"/>
  <c r="S880" i="5"/>
  <c r="J979" i="5"/>
  <c r="F979" i="5"/>
  <c r="G979" i="5"/>
  <c r="I1344" i="5"/>
  <c r="S1374" i="5"/>
  <c r="S1536" i="5"/>
  <c r="G1579" i="5"/>
  <c r="F1579" i="5"/>
  <c r="J1579" i="5"/>
  <c r="G1744" i="5"/>
  <c r="R1744" i="5"/>
  <c r="I178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H1353" i="5"/>
  <c r="G1353" i="5"/>
  <c r="I1353" i="5"/>
  <c r="F1353" i="5"/>
  <c r="J1353" i="5"/>
  <c r="H1409" i="5"/>
  <c r="R1409" i="5"/>
  <c r="J1617" i="5"/>
  <c r="I249" i="5"/>
  <c r="J1225" i="5"/>
  <c r="I1225" i="5"/>
  <c r="G1441" i="5"/>
  <c r="I1441" i="5"/>
  <c r="R1441" i="5"/>
  <c r="J1441" i="5"/>
  <c r="R889" i="5"/>
  <c r="F889" i="5"/>
  <c r="I953" i="5"/>
  <c r="J953" i="5"/>
  <c r="F953" i="5"/>
  <c r="R249" i="5"/>
  <c r="I2268" i="5"/>
  <c r="G2268" i="5"/>
  <c r="H2268" i="5"/>
  <c r="J2268" i="5"/>
  <c r="R2172" i="5"/>
  <c r="F2172" i="5"/>
  <c r="G2172" i="5"/>
  <c r="H2172" i="5"/>
  <c r="G1972" i="5"/>
  <c r="H1972" i="5"/>
  <c r="I1972" i="5"/>
  <c r="R1972" i="5"/>
  <c r="F1972" i="5"/>
  <c r="J1972" i="5"/>
  <c r="H1681" i="5"/>
  <c r="I1233" i="5"/>
  <c r="G769" i="5"/>
  <c r="R697" i="5"/>
  <c r="J1313" i="5"/>
  <c r="R649" i="5"/>
  <c r="R417" i="5"/>
  <c r="G1529" i="5"/>
  <c r="F185" i="5"/>
  <c r="J361" i="5"/>
  <c r="G1681" i="5"/>
  <c r="F929" i="5"/>
  <c r="F697" i="5"/>
  <c r="F1313" i="5"/>
  <c r="I185" i="5"/>
  <c r="I649"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H2420" i="5"/>
  <c r="H213" i="5"/>
  <c r="H1180" i="5"/>
  <c r="F1820" i="5"/>
  <c r="F2100" i="5"/>
  <c r="H2468" i="5"/>
  <c r="A29" i="6"/>
  <c r="R11" i="5"/>
  <c r="R8" i="5"/>
  <c r="I1236" i="5"/>
  <c r="R1180"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R21"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F732" i="5"/>
  <c r="G732" i="5"/>
  <c r="J732" i="5"/>
  <c r="I732" i="5"/>
  <c r="I804" i="5"/>
  <c r="G948" i="5"/>
  <c r="G1148" i="5"/>
  <c r="J1148" i="5"/>
  <c r="F1148" i="5"/>
  <c r="I1148" i="5"/>
  <c r="F1220" i="5"/>
  <c r="I1220" i="5"/>
  <c r="I1308" i="5"/>
  <c r="J1308"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R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R69"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R100" i="5"/>
  <c r="G204" i="5"/>
  <c r="J204" i="5"/>
  <c r="I204" i="5"/>
  <c r="F204" i="5"/>
  <c r="R204" i="5"/>
  <c r="H204" i="5"/>
  <c r="I652" i="5"/>
  <c r="G852" i="5"/>
  <c r="H852" i="5"/>
  <c r="J852" i="5"/>
  <c r="I852" i="5"/>
  <c r="F852" i="5"/>
  <c r="R852" i="5"/>
  <c r="F1940" i="5"/>
  <c r="I2020" i="5"/>
  <c r="H2164" i="5"/>
  <c r="F2164" i="5"/>
  <c r="I2164" i="5"/>
  <c r="J2164" i="5"/>
  <c r="R116" i="5"/>
  <c r="J1740" i="5"/>
  <c r="I1740" i="5"/>
  <c r="F1740" i="5"/>
  <c r="R1740" i="5"/>
  <c r="R2306" i="5"/>
  <c r="R6" i="5"/>
  <c r="I2346" i="5"/>
  <c r="R5" i="5"/>
  <c r="R1269" i="5"/>
  <c r="H1269" i="5"/>
  <c r="F1269" i="5"/>
  <c r="F1157" i="5"/>
  <c r="J1157" i="5"/>
  <c r="I1157" i="5"/>
  <c r="H1157" i="5"/>
  <c r="R1157" i="5"/>
  <c r="J1549" i="5"/>
  <c r="H1549" i="5"/>
  <c r="R1549" i="5"/>
  <c r="I1549" i="5"/>
  <c r="S51" i="5"/>
  <c r="S49" i="5"/>
  <c r="S68" i="5"/>
  <c r="S43" i="5"/>
  <c r="S27" i="5"/>
  <c r="S11" i="5"/>
  <c r="R10" i="5"/>
  <c r="S69" i="5"/>
  <c r="S37" i="5"/>
  <c r="S6" i="5"/>
  <c r="S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13" i="5"/>
  <c r="R645" i="5"/>
  <c r="R2384" i="5"/>
  <c r="G1968" i="5"/>
  <c r="R71"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R904" i="5"/>
  <c r="G839" i="5"/>
  <c r="R19" i="5"/>
  <c r="G187" i="5"/>
  <c r="H613" i="5"/>
  <c r="R613" i="5"/>
  <c r="F276" i="5"/>
  <c r="F1691" i="5"/>
  <c r="I1691" i="5"/>
  <c r="H1691" i="5"/>
  <c r="H547" i="5"/>
  <c r="H2115" i="5"/>
  <c r="I187" i="5"/>
  <c r="G1691" i="5"/>
  <c r="I190" i="5"/>
  <c r="H18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H2020" i="5"/>
  <c r="H788" i="5"/>
  <c r="I628" i="5"/>
  <c r="R421" i="5"/>
  <c r="I1853" i="5"/>
  <c r="R1741" i="5"/>
  <c r="F861" i="5"/>
  <c r="F821" i="5"/>
  <c r="F789" i="5"/>
  <c r="J661" i="5"/>
  <c r="J1317" i="5"/>
  <c r="H1541" i="5"/>
  <c r="H637" i="5"/>
  <c r="J1021" i="5"/>
  <c r="F1852" i="5"/>
  <c r="F1748" i="5"/>
  <c r="R1404" i="5"/>
  <c r="J924" i="5"/>
  <c r="R1697" i="5"/>
  <c r="I2476" i="5"/>
  <c r="J1852" i="5"/>
  <c r="J268"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R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R78"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R37" i="5"/>
  <c r="I956" i="5"/>
  <c r="G956" i="5"/>
  <c r="F956" i="5"/>
  <c r="R956" i="5"/>
  <c r="I796" i="5"/>
  <c r="G796" i="5"/>
  <c r="G900" i="5"/>
  <c r="J900" i="5"/>
  <c r="H2113" i="5"/>
  <c r="R2113"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828" i="5"/>
  <c r="R828" i="5"/>
  <c r="G828" i="5"/>
  <c r="G892" i="5"/>
  <c r="J892" i="5"/>
  <c r="F1036" i="5"/>
  <c r="H1036" i="5"/>
  <c r="G1036" i="5"/>
  <c r="R2220" i="5"/>
  <c r="F2220" i="5"/>
  <c r="I2220" i="5"/>
  <c r="G2220" i="5"/>
  <c r="H2460" i="5"/>
  <c r="R2460"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R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H2439" i="5"/>
  <c r="S2107" i="5"/>
  <c r="S1979" i="5"/>
  <c r="J2041" i="5"/>
  <c r="I2321" i="5"/>
  <c r="I2071" i="5"/>
  <c r="G2200" i="5"/>
  <c r="R2200" i="5"/>
  <c r="H2200" i="5"/>
  <c r="J2200" i="5"/>
  <c r="I2200" i="5"/>
  <c r="I2144" i="5"/>
  <c r="J2144" i="5"/>
  <c r="S1419" i="5"/>
  <c r="R2265" i="5"/>
  <c r="R2332" i="5"/>
  <c r="S1395" i="5"/>
  <c r="S963" i="5"/>
  <c r="G409" i="5"/>
  <c r="R56" i="5"/>
  <c r="F129" i="5"/>
  <c r="I129" i="5"/>
  <c r="J2332" i="5"/>
  <c r="I2265" i="5"/>
  <c r="R313" i="5"/>
  <c r="S923" i="5"/>
  <c r="J2439" i="5"/>
  <c r="R1281" i="5"/>
  <c r="G2321" i="5"/>
  <c r="F409" i="5"/>
  <c r="F753" i="5"/>
  <c r="S1171" i="5"/>
  <c r="S211" i="5"/>
  <c r="G281" i="5"/>
  <c r="R689" i="5"/>
  <c r="R129" i="5"/>
  <c r="S1811" i="5"/>
  <c r="S1179" i="5"/>
  <c r="S1187" i="5"/>
  <c r="S995" i="5"/>
  <c r="R2281" i="5"/>
  <c r="G1137" i="5"/>
  <c r="F2321" i="5"/>
  <c r="F2200" i="5"/>
  <c r="S1299" i="5"/>
  <c r="G864" i="5"/>
  <c r="F864" i="5"/>
  <c r="J1319" i="5"/>
  <c r="G2265" i="5"/>
  <c r="S1667" i="5"/>
  <c r="S1603" i="5"/>
  <c r="J193" i="5"/>
  <c r="G1281" i="5"/>
  <c r="H2321" i="5"/>
  <c r="G1161" i="5"/>
  <c r="S1947" i="5"/>
  <c r="G2121" i="5"/>
  <c r="R84" i="5"/>
  <c r="S1867" i="5"/>
  <c r="I313" i="5"/>
  <c r="J129" i="5"/>
  <c r="S1131" i="5"/>
  <c r="J1281" i="5"/>
  <c r="F2265" i="5"/>
  <c r="S2243" i="5"/>
  <c r="S2003" i="5"/>
  <c r="G1072" i="5"/>
  <c r="I1072" i="5"/>
  <c r="I1387" i="5"/>
  <c r="J1387" i="5"/>
  <c r="J1736" i="5"/>
  <c r="F2439" i="5"/>
  <c r="H313" i="5"/>
  <c r="G689" i="5"/>
  <c r="F281" i="5"/>
  <c r="G313" i="5"/>
  <c r="H689"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1014" i="5"/>
  <c r="G1094" i="5"/>
  <c r="G662" i="5"/>
  <c r="G518" i="5"/>
  <c r="G846" i="5"/>
  <c r="G654" i="5"/>
  <c r="G982" i="5"/>
  <c r="G542" i="5"/>
  <c r="D6" i="6"/>
  <c r="D23" i="6"/>
  <c r="D5" i="6"/>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I389" i="5"/>
  <c r="F389" i="5"/>
  <c r="G389" i="5"/>
  <c r="G597" i="5"/>
  <c r="I597" i="5"/>
  <c r="R597" i="5"/>
  <c r="H741" i="5"/>
  <c r="I741" i="5"/>
  <c r="J909" i="5"/>
  <c r="I1029" i="5"/>
  <c r="R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541" i="5"/>
  <c r="R637" i="5"/>
  <c r="R2357" i="5"/>
  <c r="R549" i="5"/>
  <c r="H35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R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R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R90"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R98"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R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R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R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R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R42" i="5"/>
  <c r="R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R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R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<sst xmlns="http://schemas.openxmlformats.org/spreadsheetml/2006/main" count="25058" uniqueCount="19256">
  <si>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</si>
  <si>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</si>
  <si>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</si>
  <si>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</si>
  <si>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</si>
  <si>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</si>
  <si>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</si>
  <si>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</si>
  <si>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</si>
  <si>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</si>
  <si>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</si>
  <si>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</si>
  <si>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</si>
  <si>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</si>
  <si>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</si>
  <si>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</si>
  <si>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</si>
  <si>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</si>
  <si>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</si>
  <si>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</si>
  <si>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</si>
  <si>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</si>
  <si>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</si>
  <si>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</si>
  <si>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</si>
  <si>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</si>
  <si>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</si>
  <si>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</si>
  <si>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</si>
  <si>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</si>
  <si>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</si>
  <si>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</si>
  <si>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</si>
  <si>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</si>
  <si>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</si>
  <si>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</si>
  <si>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</si>
  <si>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</si>
  <si>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</si>
  <si>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</si>
  <si>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</si>
  <si>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</si>
  <si>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</si>
  <si>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</si>
  <si>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</si>
  <si>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</si>
  <si>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</si>
  <si>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</si>
  <si>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</si>
  <si>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</si>
  <si>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</si>
  <si>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</si>
  <si>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</si>
  <si>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</si>
  <si>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</si>
  <si>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</si>
  <si>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</si>
  <si>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</si>
  <si>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</si>
  <si>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</si>
  <si>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</si>
  <si>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</si>
  <si>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</si>
  <si>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</si>
  <si>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</si>
  <si>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</si>
  <si>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</si>
  <si>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</si>
  <si>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</si>
  <si>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</si>
  <si>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</si>
  <si>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</si>
  <si>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</si>
  <si>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</si>
  <si>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</si>
  <si>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</si>
  <si>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</si>
  <si>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</si>
  <si>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</si>
  <si>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</si>
  <si>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</si>
  <si>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</si>
  <si>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</si>
  <si>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</si>
  <si>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</si>
  <si>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</si>
  <si>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</si>
  <si>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</si>
  <si>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</si>
  <si>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</si>
  <si>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</si>
  <si>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</si>
  <si>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</si>
  <si>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</si>
  <si>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</si>
  <si>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</si>
  <si>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</si>
  <si>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</si>
  <si>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</si>
  <si>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</si>
  <si>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</si>
  <si>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</si>
  <si>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</si>
  <si>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</si>
  <si>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</si>
  <si>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</si>
  <si>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</si>
  <si>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</si>
  <si>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</si>
  <si>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</si>
  <si>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</si>
  <si>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</si>
  <si>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</si>
  <si>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</si>
  <si>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</si>
  <si>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</si>
  <si>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</si>
  <si>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</si>
  <si>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</si>
  <si>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</si>
  <si>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</si>
  <si>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</si>
  <si>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</si>
  <si>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</si>
  <si>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</si>
  <si>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</si>
  <si>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</si>
  <si>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</si>
  <si>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</si>
  <si>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</si>
  <si>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</si>
  <si>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</si>
  <si>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</si>
  <si>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</si>
  <si>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</si>
  <si>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</si>
  <si>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</si>
  <si>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</si>
  <si>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</si>
  <si>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</si>
  <si>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</si>
  <si>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</si>
  <si>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</si>
  <si>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</si>
  <si>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</si>
  <si>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</si>
  <si>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</si>
  <si>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</si>
  <si>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</si>
  <si>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</si>
  <si>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</si>
  <si>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</si>
  <si>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</si>
  <si>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</si>
  <si>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</si>
  <si>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</si>
  <si>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</si>
  <si>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</si>
  <si>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</si>
  <si>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</si>
  <si>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</si>
  <si>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</si>
  <si>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</si>
  <si>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</si>
  <si>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</si>
  <si>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</si>
  <si>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</si>
  <si>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</si>
  <si>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</si>
  <si>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</si>
  <si>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</si>
  <si>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</si>
  <si>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</si>
  <si>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</si>
  <si>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</si>
  <si>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</si>
  <si>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</si>
  <si>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</si>
  <si>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</si>
  <si>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</si>
  <si>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</si>
  <si>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</si>
  <si>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</si>
  <si>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</si>
  <si>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</si>
  <si>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</si>
  <si>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</si>
  <si>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</si>
  <si>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</si>
  <si>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</si>
  <si>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</si>
  <si>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</si>
  <si>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</si>
  <si>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</si>
  <si>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</si>
  <si>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</si>
  <si>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</si>
  <si>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</si>
  <si>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</si>
  <si>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</si>
  <si>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</si>
  <si>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</si>
  <si>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</si>
  <si>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</si>
  <si>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</si>
  <si>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</si>
  <si>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</si>
  <si>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</si>
  <si>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</si>
  <si>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</si>
  <si>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</si>
  <si>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</si>
  <si>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</si>
  <si>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</si>
  <si>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</si>
  <si>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</si>
  <si>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</si>
  <si>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</si>
  <si>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</si>
  <si>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</si>
  <si>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</si>
  <si>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</si>
  <si>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</si>
  <si>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</si>
  <si>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</si>
  <si>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</si>
  <si>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</si>
  <si>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</si>
  <si>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</si>
  <si>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</si>
  <si>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</si>
  <si>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</si>
  <si>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</si>
  <si>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</si>
  <si>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</si>
  <si>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</si>
  <si>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</si>
  <si>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</si>
  <si>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</si>
  <si>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</si>
  <si>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</si>
  <si>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</si>
  <si>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</si>
  <si>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</si>
  <si>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</si>
  <si>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</si>
  <si>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</si>
  <si>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</si>
  <si>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</si>
  <si>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</si>
  <si>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</si>
  <si>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</si>
  <si>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</si>
  <si>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</si>
  <si>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</si>
  <si>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</si>
  <si>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</si>
  <si>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</si>
  <si>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</si>
  <si>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</si>
  <si>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</si>
  <si>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</si>
  <si>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</si>
  <si>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</si>
  <si>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</si>
  <si>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</si>
  <si>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</si>
  <si>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</si>
  <si>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</si>
  <si>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</si>
  <si>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</si>
  <si>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</si>
  <si>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</si>
  <si>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</si>
  <si>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</si>
  <si>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</si>
  <si>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</si>
  <si>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</si>
  <si>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</si>
  <si>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</si>
  <si>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</si>
  <si>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</si>
  <si>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</si>
  <si>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</si>
  <si>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</si>
  <si>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</si>
  <si>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</si>
  <si>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</si>
  <si>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</si>
  <si>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</si>
  <si>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</si>
  <si>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</si>
  <si>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</si>
  <si>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</si>
  <si>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</si>
  <si>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</si>
  <si>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</si>
  <si>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</si>
  <si>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</si>
  <si>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</si>
  <si>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</si>
  <si>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</si>
  <si>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</si>
  <si>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</si>
  <si>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</si>
  <si>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</si>
  <si>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</si>
  <si>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</si>
  <si>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</si>
  <si>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</si>
  <si>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</si>
  <si>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</si>
  <si>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</si>
  <si>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</si>
  <si>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</si>
  <si>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</si>
  <si>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</si>
  <si>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</si>
  <si>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</si>
  <si>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</si>
  <si>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</si>
  <si>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</si>
  <si>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</si>
  <si>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</si>
  <si>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</si>
  <si>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</si>
  <si>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</si>
  <si>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</si>
  <si>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</si>
  <si>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</si>
  <si>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</si>
  <si>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</si>
  <si>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</si>
  <si>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</si>
  <si>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</si>
  <si>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</si>
  <si>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</si>
  <si>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</si>
  <si>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</si>
  <si>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</si>
  <si>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</si>
  <si>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</si>
  <si>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</si>
  <si>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</si>
  <si>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</si>
  <si>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</si>
  <si>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</si>
  <si>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</si>
  <si>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</si>
  <si>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</si>
  <si>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</si>
  <si>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</si>
  <si>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</si>
  <si>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</si>
  <si>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</si>
  <si>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</si>
  <si>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</si>
  <si>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</si>
  <si>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</si>
  <si>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</si>
  <si>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</si>
  <si>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</si>
  <si>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</si>
  <si>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</si>
  <si>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</si>
  <si>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</si>
  <si>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</si>
  <si>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</si>
  <si>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</si>
  <si>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</si>
  <si>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</si>
  <si>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</si>
  <si>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</si>
  <si>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</si>
  <si>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</si>
  <si>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</si>
  <si>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</si>
  <si>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</si>
  <si>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</si>
  <si>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</si>
  <si>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</si>
  <si>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</si>
  <si>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</si>
  <si>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</si>
  <si>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</si>
  <si>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</si>
  <si>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</si>
  <si>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</si>
  <si>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</si>
  <si>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</si>
  <si>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</si>
  <si>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</si>
  <si>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</si>
  <si>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</si>
  <si>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</si>
  <si>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</si>
  <si>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</si>
  <si>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</si>
  <si>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1"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</si>
  <si>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</si>
  <si>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</si>
  <si>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</si>
  <si>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</si>
  <si>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</si>
  <si>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76"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</si>
  <si>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</si>
  <si>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</si>
  <si>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</si>
  <si>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</si>
  <si>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</si>
  <si>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</si>
  <si>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</si>
  <si>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</si>
  <si>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</si>
  <si>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</si>
  <si>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</si>
  <si>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</si>
  <si>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</si>
  <si>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</si>
  <si>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</si>
  <si>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</si>
  <si>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</si>
  <si>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</si>
  <si>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</si>
  <si>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</si>
  <si>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</si>
  <si>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</si>
  <si>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</si>
  <si>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</si>
  <si>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</si>
  <si>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</si>
  <si>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</si>
  <si>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</si>
  <si>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</si>
  <si>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</si>
  <si>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</si>
  <si>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</si>
  <si>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</si>
  <si>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</si>
  <si>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</si>
  <si>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</si>
  <si>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</si>
  <si>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</si>
  <si>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</si>
  <si>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</si>
  <si>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</si>
  <si>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</si>
  <si>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</si>
  <si>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</si>
  <si>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</si>
  <si>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</si>
  <si>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</si>
  <si>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</si>
  <si>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</si>
  <si>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</si>
  <si>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</si>
  <si>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</si>
  <si>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</si>
  <si>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</si>
  <si>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</si>
  <si>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</si>
  <si>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</si>
  <si>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</si>
  <si>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</si>
  <si>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</si>
  <si>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</si>
  <si>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</si>
  <si>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</si>
  <si>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</si>
  <si>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</si>
  <si>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</si>
  <si>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</si>
  <si>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</si>
  <si>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</si>
  <si>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</si>
  <si>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</si>
  <si>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</si>
  <si>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</si>
  <si>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</si>
  <si>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</si>
  <si>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</si>
  <si>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</si>
  <si>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</si>
  <si>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</si>
  <si>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</si>
  <si>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</si>
  <si>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</si>
  <si>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</si>
  <si>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</si>
  <si>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</si>
  <si>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</si>
  <si>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</si>
  <si>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</si>
  <si>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</si>
  <si>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</si>
  <si>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</si>
  <si>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</si>
  <si>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</si>
  <si>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</si>
  <si>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</si>
  <si>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</si>
  <si>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</si>
  <si>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</si>
  <si>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</si>
  <si>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</si>
  <si>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</si>
  <si>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</si>
  <si>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</si>
  <si>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</si>
  <si>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</si>
  <si>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</si>
  <si>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</si>
  <si>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</si>
  <si>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</si>
  <si>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</si>
  <si>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</si>
  <si>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</si>
  <si>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</si>
  <si>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</si>
  <si>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</si>
  <si>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</si>
  <si>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</si>
  <si>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</si>
  <si>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</si>
  <si>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</si>
  <si>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</si>
  <si>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</si>
  <si>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</si>
  <si>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</si>
  <si>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</si>
  <si>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</si>
  <si>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</si>
  <si>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</si>
  <si>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</si>
  <si>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</si>
  <si>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</si>
  <si>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</si>
  <si>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</si>
  <si>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</si>
  <si>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</si>
  <si>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</si>
  <si>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</si>
  <si>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</si>
  <si>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</si>
  <si>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</si>
  <si>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</si>
  <si>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</si>
  <si>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</si>
  <si>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</si>
  <si>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</si>
  <si>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</si>
  <si>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</si>
  <si>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</si>
  <si>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</si>
  <si>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</si>
  <si>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</si>
  <si>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</si>
  <si>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</si>
  <si>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</si>
  <si>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</si>
  <si>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1"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</si>
  <si>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</si>
  <si>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</si>
  <si>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</si>
  <si>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</si>
  <si>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</si>
  <si>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</si>
  <si>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</si>
  <si>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</si>
  <si>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</si>
  <si>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</si>
  <si>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</si>
  <si>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</si>
  <si>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</si>
  <si>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</si>
  <si>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</si>
  <si>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</si>
  <si>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</si>
  <si>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</si>
  <si>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</si>
  <si>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</si>
  <si>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</si>
  <si>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</si>
  <si>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</si>
  <si>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</si>
  <si>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</si>
  <si>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</si>
  <si>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</si>
  <si>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</si>
  <si>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</si>
  <si>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</si>
  <si>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</si>
  <si>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</si>
  <si>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</si>
  <si>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</si>
  <si>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</si>
  <si>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</si>
  <si>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</si>
  <si>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</si>
  <si>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</si>
  <si>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</si>
  <si>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</si>
  <si>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</si>
  <si>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</si>
  <si>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</si>
  <si>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</si>
  <si>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</si>
  <si>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</si>
  <si>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1"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</si>
  <si>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</si>
  <si>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</si>
  <si>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</si>
  <si>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</si>
  <si>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</si>
  <si>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</si>
  <si>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</si>
  <si>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</si>
  <si>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</si>
  <si>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</si>
  <si>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</si>
  <si>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</si>
  <si>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</si>
  <si>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</si>
  <si>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</si>
  <si>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</si>
  <si>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</si>
  <si>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</si>
  <si>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</si>
  <si>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</si>
  <si>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</si>
  <si>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</si>
  <si>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</si>
  <si>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</si>
  <si>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</si>
  <si>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</si>
  <si>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</si>
  <si>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</si>
  <si>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</si>
  <si>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</si>
  <si>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</si>
  <si>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</si>
  <si>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</si>
  <si>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</si>
  <si>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</si>
  <si>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76"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</si>
  <si>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</si>
  <si>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</si>
  <si>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</si>
  <si>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</si>
  <si>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</si>
  <si>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</si>
  <si>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</si>
  <si>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</si>
  <si>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</si>
  <si>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</si>
  <si>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</si>
  <si>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</si>
  <si>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</si>
  <si>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</si>
  <si>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</si>
  <si>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</si>
  <si>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</si>
  <si>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76"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</si>
  <si>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</si>
  <si>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</si>
  <si>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</si>
  <si>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</si>
  <si>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</si>
  <si>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1"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</si>
  <si>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</si>
  <si>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</si>
  <si>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</si>
  <si>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</si>
  <si>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</si>
  <si>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1"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</si>
  <si>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</si>
  <si>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</si>
  <si>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</si>
  <si>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</si>
  <si>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</si>
  <si>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1"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</si>
  <si>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</si>
  <si>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</si>
  <si>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</si>
  <si>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</si>
  <si>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</si>
  <si>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1"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</si>
  <si>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</si>
  <si>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</si>
  <si>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</si>
  <si>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</si>
  <si>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</si>
  <si>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</si>
  <si>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</si>
  <si>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</si>
  <si>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</si>
  <si>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</si>
  <si>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</si>
  <si>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</si>
  <si>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</si>
  <si>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</si>
  <si>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</si>
  <si>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</si>
  <si>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</si>
  <si>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76"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</si>
  <si>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</si>
  <si>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</si>
  <si>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</si>
  <si>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</si>
  <si>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</si>
  <si>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76"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</si>
  <si>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</si>
  <si>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</si>
  <si>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</si>
  <si>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</si>
  <si>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</si>
  <si>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76"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</si>
  <si>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</si>
  <si>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</si>
  <si>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</si>
  <si>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</si>
  <si>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</si>
  <si>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</si>
  <si>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</si>
  <si>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</si>
  <si>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</si>
  <si>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</si>
  <si>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</si>
  <si>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76"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</si>
  <si>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</si>
  <si>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</si>
  <si>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</si>
  <si>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</si>
  <si>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</si>
  <si>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</si>
  <si>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</si>
  <si>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</si>
  <si>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</si>
  <si>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</si>
  <si>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</si>
  <si>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</si>
  <si>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</si>
  <si>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</si>
  <si>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</si>
  <si>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</si>
  <si>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</si>
  <si>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</si>
  <si>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</si>
  <si>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</si>
  <si>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</si>
  <si>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</si>
  <si>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</si>
  <si>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76"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</si>
  <si>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</si>
  <si>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</si>
  <si>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</si>
  <si>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</si>
  <si>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</si>
  <si>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76"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</si>
  <si>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</si>
  <si>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</si>
  <si>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</si>
  <si>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</si>
  <si>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</si>
  <si>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</si>
  <si>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</si>
  <si>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</si>
  <si>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</si>
  <si>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</si>
  <si>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</si>
  <si>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76"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</si>
  <si>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</si>
  <si>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</si>
  <si>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</si>
  <si>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</si>
  <si>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</si>
  <si>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</si>
  <si>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</si>
  <si>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</si>
  <si>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</si>
  <si>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</si>
  <si>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</si>
  <si>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</si>
  <si>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</si>
  <si>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</si>
  <si>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</si>
  <si>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</si>
  <si>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</si>
  <si>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</si>
  <si>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</si>
  <si>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</si>
  <si>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</si>
  <si>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</si>
  <si>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</si>
  <si>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</si>
  <si>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</si>
  <si>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</si>
  <si>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</si>
  <si>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</si>
  <si>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</si>
  <si>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</si>
  <si>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</si>
  <si>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</si>
  <si>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</si>
  <si>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</si>
  <si>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</si>
  <si>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</si>
  <si>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</si>
  <si>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</si>
  <si>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</si>
  <si>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</si>
  <si>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</si>
  <si>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</si>
  <si>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</si>
  <si>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</si>
  <si>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</si>
  <si>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</si>
  <si>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</si>
  <si>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</si>
  <si>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</si>
  <si>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</si>
  <si>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</si>
  <si>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</si>
  <si>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</si>
  <si>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</si>
  <si>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</si>
  <si>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</si>
  <si>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</si>
  <si>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</si>
  <si>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</si>
  <si>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</si>
  <si>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</si>
  <si>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</si>
  <si>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</si>
  <si>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</si>
  <si>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</si>
  <si>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</si>
  <si>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</si>
  <si>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</si>
  <si>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</si>
  <si>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1"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</si>
  <si>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</si>
  <si>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</si>
  <si>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</si>
  <si>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</si>
  <si>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</si>
  <si>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</si>
  <si>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</si>
  <si>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</si>
  <si>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</si>
  <si>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</si>
  <si>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</si>
  <si>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</si>
  <si>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</si>
  <si>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</si>
  <si>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</si>
  <si>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</si>
  <si>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</si>
  <si>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</si>
  <si>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</si>
  <si>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</si>
  <si>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</si>
  <si>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</si>
  <si>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</si>
  <si>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</si>
  <si>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</si>
  <si>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</si>
  <si>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</si>
  <si>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</si>
  <si>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</si>
  <si>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</si>
  <si>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</si>
  <si>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</si>
  <si>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</si>
  <si>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</si>
  <si>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</si>
  <si>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</si>
  <si>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</si>
  <si>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</si>
  <si>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</si>
  <si>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</si>
  <si>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</si>
  <si>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</si>
  <si>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</si>
  <si>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</si>
  <si>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</si>
  <si>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</si>
  <si>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</si>
  <si>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</si>
  <si>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</si>
  <si>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</si>
  <si>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</si>
  <si>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</si>
  <si>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</si>
  <si>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</si>
  <si>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</si>
  <si>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</si>
  <si>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76"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</si>
  <si>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</si>
  <si>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</si>
  <si>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</si>
  <si>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</si>
  <si>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</si>
  <si>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</si>
  <si>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</si>
  <si>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</si>
  <si>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</si>
  <si>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</si>
  <si>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</si>
  <si>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76"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</si>
  <si>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</si>
  <si>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</si>
  <si>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</si>
  <si>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</si>
  <si>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</si>
  <si>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0"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</si>
  <si>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</si>
  <si>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</si>
  <si>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</si>
  <si>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</si>
  <si>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</si>
  <si>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</si>
  <si>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</si>
  <si>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</si>
  <si>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</si>
  <si>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</si>
  <si>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</si>
  <si>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</si>
  <si>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</si>
  <si>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</si>
  <si>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</si>
  <si>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</si>
  <si>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</si>
  <si>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</si>
  <si>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</si>
  <si>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</si>
  <si>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</si>
  <si>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</si>
  <si>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</si>
  <si>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</si>
  <si>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</si>
  <si>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</si>
  <si>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</si>
  <si>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</si>
  <si>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</si>
  <si>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</si>
  <si>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</si>
  <si>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</si>
  <si>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</si>
  <si>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</si>
  <si>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</si>
  <si>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</si>
  <si>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</si>
  <si>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</si>
  <si>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</si>
  <si>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</si>
  <si>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</si>
  <si>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</si>
  <si>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</si>
  <si>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</si>
  <si>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</si>
  <si>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</si>
  <si>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</si>
  <si>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</si>
  <si>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</si>
  <si>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</si>
  <si>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</si>
  <si>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</si>
  <si>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</si>
  <si>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</si>
  <si>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</si>
  <si>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</si>
  <si>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</si>
  <si>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</si>
  <si>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</si>
  <si>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</si>
  <si>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</si>
  <si>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</si>
  <si>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</si>
  <si>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</si>
  <si>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</si>
  <si>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76"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</si>
  <si>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</si>
  <si>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</si>
  <si>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</si>
  <si>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</si>
  <si>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</si>
  <si>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1"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</si>
  <si>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</si>
  <si>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</si>
  <si>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</si>
  <si>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</si>
  <si>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</si>
  <si>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0"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</si>
  <si>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</si>
  <si>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</si>
  <si>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</si>
  <si>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</si>
  <si>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</si>
  <si>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</si>
  <si>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</si>
  <si>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</si>
  <si>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</si>
  <si>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</si>
  <si>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</si>
  <si>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</si>
  <si>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</si>
  <si>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</si>
  <si>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</si>
  <si>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</si>
  <si>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</si>
  <si>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</si>
  <si>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1"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</si>
  <si>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</si>
  <si>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</si>
  <si>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</si>
  <si>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</si>
  <si>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</si>
  <si>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</si>
  <si>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</si>
  <si>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</si>
  <si>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</si>
  <si>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</si>
  <si>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</si>
  <si>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</si>
  <si>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</si>
  <si>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</si>
  <si>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</si>
  <si>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</si>
  <si>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</si>
  <si>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</si>
  <si>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</si>
  <si>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</si>
  <si>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</si>
  <si>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</si>
  <si>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</si>
  <si>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</si>
  <si>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</si>
  <si>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</si>
  <si>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</si>
  <si>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</si>
  <si>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</si>
  <si>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</si>
  <si>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</si>
  <si>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</si>
  <si>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</si>
  <si>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</si>
  <si>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</si>
  <si>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</si>
  <si>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</si>
  <si>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</si>
  <si>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</si>
  <si>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</si>
  <si>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</si>
  <si>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</si>
  <si>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</si>
  <si>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</si>
  <si>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</si>
  <si>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</si>
  <si>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</si>
  <si>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</si>
  <si>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</si>
  <si>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</si>
  <si>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</si>
  <si>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</si>
  <si>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</si>
  <si>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</si>
  <si>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</si>
  <si>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</si>
  <si>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</si>
  <si>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</si>
  <si>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</si>
  <si>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</si>
  <si>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</si>
  <si>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</si>
  <si>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</si>
  <si>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</si>
  <si>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</si>
  <si>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</si>
  <si>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</si>
  <si>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76"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</si>
  <si>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</si>
  <si>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</si>
  <si>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</si>
  <si>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</si>
  <si>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</si>
  <si>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</si>
  <si>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</si>
  <si>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</si>
  <si>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</si>
  <si>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</si>
  <si>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</si>
  <si>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</si>
  <si>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</si>
  <si>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</si>
  <si>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</si>
  <si>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</si>
  <si>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</si>
  <si>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</si>
  <si>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</si>
  <si>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</si>
  <si>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</si>
  <si>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</si>
  <si>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</si>
  <si>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</si>
  <si>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</si>
  <si>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</si>
  <si>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</si>
  <si>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</si>
  <si>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</si>
  <si>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</si>
  <si>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</si>
  <si>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</si>
  <si>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</si>
  <si>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</si>
  <si>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</si>
  <si>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</si>
  <si>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</si>
  <si>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</si>
  <si>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</si>
  <si>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</si>
  <si>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</si>
  <si>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</si>
  <si>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</si>
  <si>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</si>
  <si>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</si>
  <si>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</si>
  <si>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</si>
  <si>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</si>
  <si>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</si>
  <si>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</si>
  <si>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</si>
  <si>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</si>
  <si>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</si>
  <si>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</si>
  <si>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</si>
  <si>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</si>
  <si>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</si>
  <si>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</si>
  <si>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</si>
  <si>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</si>
  <si>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</si>
  <si>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</si>
  <si>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</si>
  <si>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</si>
  <si>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</si>
  <si>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</si>
  <si>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</si>
  <si>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</si>
  <si>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</si>
  <si>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</si>
  <si>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</si>
  <si>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</si>
  <si>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</si>
  <si>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</si>
  <si>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</si>
  <si>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</si>
  <si>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</si>
  <si>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</si>
  <si>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</si>
  <si>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</si>
  <si>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</si>
  <si>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</si>
  <si>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</si>
  <si>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</si>
  <si>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</si>
  <si>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</si>
  <si>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</si>
  <si>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</si>
  <si>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</si>
  <si>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</si>
  <si>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</si>
  <si>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</si>
  <si>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</si>
  <si>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</si>
  <si>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</si>
  <si>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</si>
  <si>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</si>
  <si>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</si>
  <si>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</si>
  <si>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</si>
  <si>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</si>
  <si>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</si>
  <si>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</si>
  <si>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</si>
  <si>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</si>
  <si>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</si>
  <si>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</si>
  <si>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</si>
  <si>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</si>
  <si>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</si>
  <si>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</si>
  <si>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</si>
  <si>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</si>
  <si>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</si>
  <si>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</si>
  <si>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</si>
  <si>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</si>
  <si>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</si>
  <si>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</si>
  <si>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</si>
  <si>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</si>
  <si>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</si>
  <si>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</si>
  <si>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</si>
  <si>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</si>
  <si>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</si>
  <si>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</si>
  <si>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</si>
  <si>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</si>
  <si>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</si>
  <si>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</si>
  <si>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</si>
  <si>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</si>
  <si>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</si>
  <si>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</si>
  <si>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</si>
  <si>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</si>
  <si>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</si>
  <si>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</si>
  <si>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</si>
  <si>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</si>
  <si>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</si>
  <si>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</si>
  <si>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</si>
  <si>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</si>
  <si>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</si>
  <si>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</si>
  <si>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</si>
  <si>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</si>
  <si>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</si>
  <si>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</si>
  <si>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</si>
  <si>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1"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</si>
  <si>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</si>
  <si>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</si>
  <si>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</si>
  <si>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</si>
  <si>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</si>
  <si>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</si>
  <si>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</si>
  <si>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</si>
  <si>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</si>
  <si>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</si>
  <si>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</si>
  <si>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</si>
  <si>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</si>
  <si>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</si>
  <si>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</si>
  <si>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</si>
  <si>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</si>
  <si>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</si>
  <si>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</si>
  <si>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</si>
  <si>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</si>
  <si>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</si>
  <si>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</si>
  <si>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</si>
  <si>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</si>
  <si>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</si>
  <si>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</si>
  <si>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</si>
  <si>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</si>
  <si>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</si>
  <si>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</si>
  <si>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</si>
  <si>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</si>
  <si>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</si>
  <si>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</si>
  <si>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</si>
  <si>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</si>
  <si>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</si>
  <si>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</si>
  <si>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</si>
  <si>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</si>
  <si>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</si>
  <si>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</si>
  <si>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</si>
  <si>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</si>
  <si>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</si>
  <si>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</si>
  <si>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</si>
  <si>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</si>
  <si>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</si>
  <si>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</si>
  <si>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</si>
  <si>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</si>
  <si>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</si>
  <si>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</si>
  <si>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</si>
  <si>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</si>
  <si>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</si>
  <si>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</si>
  <si>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</si>
  <si>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</si>
  <si>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</si>
  <si>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</si>
  <si>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</si>
  <si>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</si>
  <si>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</si>
  <si>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</si>
  <si>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</si>
  <si>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</si>
  <si>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</si>
  <si>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</si>
  <si>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</si>
  <si>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</si>
  <si>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</si>
  <si>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</si>
  <si>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</si>
  <si>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</si>
  <si>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</si>
  <si>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</si>
  <si>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</si>
  <si>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</si>
  <si>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</si>
  <si>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</si>
  <si>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</si>
  <si>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</si>
  <si>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</si>
  <si>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</si>
  <si>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</si>
  <si>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</si>
  <si>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</si>
  <si>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</si>
  <si>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</si>
  <si>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</si>
  <si>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</si>
  <si>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</si>
  <si>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</si>
  <si>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</si>
  <si>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</si>
  <si>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76"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</si>
  <si>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</si>
  <si>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</si>
  <si>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</si>
  <si>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</si>
  <si>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</si>
  <si>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</si>
  <si>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</si>
  <si>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</si>
  <si>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</si>
  <si>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</si>
  <si>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</si>
  <si>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</si>
  <si>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</si>
  <si>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</si>
  <si>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</si>
  <si>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</si>
  <si>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</si>
  <si>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</si>
  <si>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</si>
  <si>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</si>
  <si>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</si>
  <si>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</si>
  <si>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</si>
  <si>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</si>
  <si>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</si>
  <si>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</si>
  <si>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</si>
  <si>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</si>
  <si>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</si>
  <si>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</si>
  <si>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</si>
  <si>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</si>
  <si>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</si>
  <si>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</si>
  <si>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</si>
  <si>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</si>
  <si>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</si>
  <si>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</si>
  <si>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</si>
  <si>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</si>
  <si>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</si>
  <si>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</si>
  <si>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</si>
  <si>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</si>
  <si>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</si>
  <si>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</si>
  <si>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</si>
  <si>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</si>
  <si>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</si>
  <si>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</si>
  <si>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</si>
  <si>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</si>
  <si>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</si>
  <si>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</si>
  <si>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</si>
  <si>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</si>
  <si>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</si>
  <si>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</si>
  <si>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</si>
  <si>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</si>
  <si>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</si>
  <si>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</si>
  <si>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</si>
  <si>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</si>
  <si>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</si>
  <si>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</si>
  <si>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</si>
  <si>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</si>
  <si>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</si>
  <si>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</si>
  <si>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</si>
  <si>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</si>
  <si>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</si>
  <si>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</si>
  <si>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</si>
  <si>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</si>
  <si>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</si>
  <si>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</si>
  <si>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</si>
  <si>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</si>
  <si>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</si>
  <si>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</si>
  <si>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</si>
  <si>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</si>
  <si>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</si>
  <si>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</si>
  <si>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</si>
  <si>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</si>
  <si>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</si>
  <si>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</si>
  <si>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</si>
  <si>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</si>
  <si>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</si>
  <si>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</si>
  <si>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</si>
  <si>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</si>
  <si>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</si>
  <si>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</si>
  <si>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</si>
  <si>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76"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</si>
  <si>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</si>
  <si>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</si>
  <si>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</si>
  <si>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</si>
  <si>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</si>
  <si>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76"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</si>
  <si>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</si>
  <si>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</si>
  <si>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</si>
  <si>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</si>
  <si>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</si>
  <si>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76"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</si>
  <si>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</si>
  <si>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</si>
  <si>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</si>
  <si>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</si>
  <si>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</si>
  <si>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</si>
  <si>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</si>
  <si>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</si>
  <si>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</si>
  <si>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</si>
  <si>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</si>
  <si>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</si>
  <si>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</si>
  <si>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</si>
  <si>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</si>
  <si>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</si>
  <si>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</si>
  <si>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</si>
  <si>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</si>
  <si>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</si>
  <si>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</si>
  <si>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</si>
  <si>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</si>
  <si>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</si>
  <si>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</si>
  <si>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</si>
  <si>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</si>
  <si>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</si>
  <si>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</si>
  <si>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</si>
  <si>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76"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</si>
  <si>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</si>
  <si>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</si>
  <si>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</si>
  <si>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</si>
  <si>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</si>
  <si>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</si>
  <si>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</si>
  <si>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</si>
  <si>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</si>
  <si>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</si>
  <si>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</si>
  <si>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</si>
  <si>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</si>
  <si>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</si>
  <si>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</si>
  <si>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</si>
  <si>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</si>
  <si>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</si>
  <si>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</si>
  <si>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</si>
  <si>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</si>
  <si>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</si>
  <si>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</si>
  <si>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</si>
  <si>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</si>
  <si>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</si>
  <si>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</si>
  <si>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</si>
  <si>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</si>
  <si>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</si>
  <si>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</si>
  <si>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</si>
  <si>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76"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</si>
  <si>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</si>
  <si>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</si>
  <si>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</si>
  <si>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</si>
  <si>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</si>
  <si>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</si>
  <si>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</si>
  <si>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</si>
  <si>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</si>
  <si>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</si>
  <si>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</si>
  <si>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</si>
  <si>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</si>
  <si>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</si>
  <si>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76"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</si>
  <si>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</si>
  <si>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</si>
  <si>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</si>
  <si>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</si>
  <si>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</si>
  <si>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</si>
  <si>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</si>
  <si>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</si>
  <si>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</si>
  <si>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</si>
  <si>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</si>
  <si>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76"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</si>
  <si>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</si>
  <si>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</si>
  <si>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</si>
  <si>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</si>
  <si>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</si>
  <si>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</si>
  <si>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</si>
  <si>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</si>
  <si>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</si>
  <si>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</si>
  <si>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</si>
  <si>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</si>
  <si>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</si>
  <si>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</si>
  <si>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</si>
  <si>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</si>
  <si>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</si>
  <si>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</si>
  <si>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</si>
  <si>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</si>
  <si>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</si>
  <si>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</si>
  <si>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</si>
  <si>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</si>
  <si>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</si>
  <si>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</si>
  <si>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</si>
  <si>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</si>
  <si>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</si>
  <si>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</si>
  <si>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</si>
  <si>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</si>
  <si>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</si>
  <si>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</si>
  <si>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</si>
  <si>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</si>
  <si>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</si>
  <si>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</si>
  <si>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</si>
  <si>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</si>
  <si>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</si>
  <si>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</si>
  <si>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</si>
  <si>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</si>
  <si>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</si>
  <si>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</si>
  <si>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</si>
  <si>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76"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</si>
  <si>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</si>
  <si>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</si>
  <si>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</si>
  <si>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</si>
  <si>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</si>
  <si>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</si>
  <si>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</si>
  <si>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</si>
  <si>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</si>
  <si>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</si>
  <si>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</si>
  <si>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</si>
  <si>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</si>
  <si>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1"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</si>
  <si>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</si>
  <si>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</si>
  <si>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</si>
  <si>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</si>
  <si>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</si>
  <si>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</si>
  <si>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</si>
  <si>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</si>
  <si>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</si>
  <si>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</si>
  <si>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</si>
  <si>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1"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</si>
  <si>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</si>
  <si>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</si>
  <si>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</si>
  <si>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</si>
  <si>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</si>
  <si>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</si>
  <si>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</si>
  <si>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</si>
  <si>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</si>
  <si>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</si>
  <si>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</si>
  <si>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76"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</si>
  <si>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</si>
  <si>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</si>
  <si>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</si>
  <si>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</si>
  <si>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</si>
  <si>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</si>
  <si>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</si>
  <si>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</si>
  <si>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</si>
  <si>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</si>
  <si>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</si>
  <si>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</si>
  <si>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</si>
  <si>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</si>
  <si>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</si>
  <si>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</si>
  <si>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</si>
  <si>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</si>
  <si>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</si>
  <si>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</si>
  <si>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</si>
  <si>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</si>
  <si>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</si>
  <si>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</si>
  <si>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</si>
  <si>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</si>
  <si>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</si>
  <si>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</si>
  <si>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</si>
  <si>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</si>
  <si>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</si>
  <si>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</si>
  <si>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</si>
  <si>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</si>
  <si>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</si>
  <si>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</si>
  <si>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</si>
  <si>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</si>
  <si>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1"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</si>
  <si>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</si>
  <si>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</si>
  <si>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</si>
  <si>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</si>
  <si>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</si>
  <si>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</si>
  <si>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</si>
  <si>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</si>
  <si>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</si>
  <si>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</si>
  <si>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</si>
  <si>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</si>
  <si>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</si>
  <si>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</si>
  <si>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</si>
  <si>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</si>
  <si>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</si>
  <si>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</si>
  <si>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</si>
  <si>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</si>
  <si>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</si>
  <si>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</si>
  <si>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</si>
  <si>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1"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</si>
  <si>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</si>
  <si>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</si>
  <si>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</si>
  <si>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</si>
  <si>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</si>
  <si>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</si>
  <si>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</si>
  <si>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</si>
  <si>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</si>
  <si>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</si>
  <si>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</si>
  <si>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</si>
  <si>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</si>
  <si>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</si>
  <si>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</si>
  <si>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</si>
  <si>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</si>
  <si>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</si>
  <si>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</si>
  <si>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</si>
  <si>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</si>
  <si>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</si>
  <si>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</si>
  <si>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</si>
  <si>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</si>
  <si>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</si>
  <si>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</si>
  <si>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</si>
  <si>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</si>
  <si>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</si>
  <si>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</si>
  <si>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</si>
  <si>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</si>
  <si>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</si>
  <si>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</si>
  <si>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</si>
  <si>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</si>
  <si>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</si>
  <si>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</si>
  <si>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</si>
  <si>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</si>
  <si>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</si>
  <si>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</si>
  <si>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</si>
  <si>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</si>
  <si>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</si>
  <si>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</si>
  <si>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</si>
  <si>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</si>
  <si>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</si>
  <si>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</si>
  <si>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</si>
  <si>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</si>
  <si>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</si>
  <si>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</si>
  <si>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</si>
  <si>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</si>
  <si>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</si>
  <si>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</si>
  <si>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</si>
  <si>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</si>
  <si>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</si>
  <si>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</si>
  <si>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</si>
  <si>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</si>
  <si>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</si>
  <si>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</si>
  <si>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</si>
  <si>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</si>
  <si>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</si>
  <si>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</si>
  <si>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</si>
  <si>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</si>
  <si>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76"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</si>
  <si>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</si>
  <si>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</si>
  <si>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</si>
  <si>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</si>
  <si>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</si>
  <si>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</si>
  <si>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</si>
  <si>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</si>
  <si>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</si>
  <si>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</si>
  <si>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</si>
  <si>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</si>
  <si>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</si>
  <si>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</si>
  <si>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</si>
  <si>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</si>
  <si>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</si>
  <si>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</si>
  <si>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</si>
  <si>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</si>
  <si>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</si>
  <si>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</si>
  <si>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</si>
  <si>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</si>
  <si>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</si>
  <si>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</si>
  <si>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</si>
  <si>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</si>
  <si>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</si>
  <si>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</si>
  <si>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</si>
  <si>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</si>
  <si>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</si>
  <si>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</si>
  <si>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</si>
  <si>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</si>
  <si>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</si>
  <si>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</si>
  <si>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</si>
  <si>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</si>
  <si>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</si>
  <si>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</si>
  <si>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</si>
  <si>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</si>
  <si>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</si>
  <si>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</si>
  <si>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</si>
  <si>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</si>
  <si>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</si>
  <si>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</si>
  <si>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</si>
  <si>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</si>
  <si>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</si>
  <si>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</si>
  <si>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</si>
  <si>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</si>
  <si>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</si>
  <si>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</si>
  <si>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</si>
  <si>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</si>
  <si>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</si>
  <si>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</si>
  <si>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</si>
  <si>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</si>
  <si>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</si>
  <si>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</si>
  <si>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</si>
  <si>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</si>
  <si>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</si>
  <si>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</si>
  <si>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</si>
  <si>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</si>
  <si>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</si>
  <si>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</si>
  <si>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</si>
  <si>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</si>
  <si>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</si>
  <si>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</si>
  <si>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</si>
  <si>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</si>
  <si>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</si>
  <si>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</si>
  <si>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</si>
  <si>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</si>
  <si>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</si>
  <si>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</si>
  <si>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</si>
  <si>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</si>
  <si>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</si>
  <si>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</si>
  <si>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</si>
  <si>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</si>
  <si>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</si>
  <si>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</si>
  <si>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</si>
  <si>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</si>
  <si>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</si>
  <si>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</si>
  <si>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</si>
  <si>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</si>
  <si>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</si>
  <si>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</si>
  <si>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</si>
  <si>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</si>
  <si>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</si>
  <si>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</si>
  <si>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</si>
  <si>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</si>
  <si>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</si>
  <si>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</si>
  <si>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</si>
  <si>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</si>
  <si>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</si>
  <si>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</si>
  <si>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</si>
  <si>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</si>
  <si>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</si>
  <si>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</si>
  <si>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</si>
  <si>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</si>
  <si>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</si>
  <si>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</si>
  <si>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</si>
  <si>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</si>
  <si>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</si>
  <si>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</si>
  <si>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</si>
  <si>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</si>
  <si>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</si>
  <si>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</si>
  <si>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</si>
  <si>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</si>
  <si>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</si>
  <si>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</si>
  <si>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</si>
  <si>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</si>
  <si>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</si>
  <si>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</si>
  <si>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</si>
  <si>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</si>
  <si>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</si>
  <si>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</si>
  <si>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</si>
  <si>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</si>
  <si>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</si>
  <si>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</si>
  <si>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</si>
  <si>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</si>
  <si>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</si>
  <si>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</si>
  <si>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</si>
  <si>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</si>
  <si>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</si>
  <si>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</si>
  <si>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</si>
  <si>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</si>
  <si>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</si>
  <si>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</si>
  <si>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</si>
  <si>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</si>
  <si>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</si>
  <si>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</si>
  <si>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</si>
  <si>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</si>
  <si>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</si>
  <si>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</si>
  <si>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</si>
  <si>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</si>
  <si>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</si>
  <si>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</si>
  <si>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</si>
  <si>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</si>
  <si>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</si>
  <si>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</si>
  <si>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</si>
  <si>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</si>
  <si>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</si>
  <si>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</si>
  <si>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</si>
  <si>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</si>
  <si>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</si>
  <si>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</si>
  <si>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</si>
  <si>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</si>
  <si>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</si>
  <si>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</si>
  <si>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</si>
  <si>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</si>
  <si>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</si>
  <si>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</si>
  <si>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</si>
  <si>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</si>
  <si>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</si>
  <si>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</si>
  <si>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</si>
  <si>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</si>
  <si>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</si>
  <si>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</si>
  <si>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</si>
  <si>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</si>
  <si>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</si>
  <si>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</si>
  <si>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</si>
  <si>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</si>
  <si>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</si>
  <si>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</si>
  <si>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</si>
  <si>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</si>
  <si>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</si>
  <si>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</si>
  <si>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</si>
  <si>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</si>
  <si>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</si>
  <si>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</si>
  <si>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</si>
  <si>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</si>
  <si>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</si>
  <si>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</si>
  <si>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</si>
  <si>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</si>
  <si>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</si>
  <si>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</si>
  <si>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</si>
  <si>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</si>
  <si>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</si>
  <si>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</si>
  <si>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</si>
  <si>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</si>
  <si>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</si>
  <si>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</si>
  <si>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</si>
  <si>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</si>
  <si>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</si>
  <si>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</si>
  <si>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</si>
  <si>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</si>
  <si>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</si>
  <si>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</si>
  <si>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</si>
  <si>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</si>
  <si>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</si>
  <si>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</si>
  <si>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</si>
  <si>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</si>
  <si>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</si>
  <si>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</si>
  <si>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</si>
  <si>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</si>
  <si>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</si>
  <si>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</si>
  <si>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</si>
  <si>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</si>
  <si>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</si>
  <si>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</si>
  <si>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</si>
  <si>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</si>
  <si>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</si>
  <si>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</si>
  <si>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</si>
  <si>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</si>
  <si>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</si>
  <si>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</si>
  <si>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</si>
  <si>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</si>
  <si>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</si>
  <si>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</si>
  <si>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</si>
  <si>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</si>
  <si>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</si>
  <si>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</si>
  <si>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</si>
  <si>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</si>
  <si>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</si>
  <si>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</si>
  <si>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</si>
  <si>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</si>
  <si>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</si>
  <si>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</si>
  <si>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</si>
  <si>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</si>
  <si>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</si>
  <si>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</si>
  <si>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</si>
  <si>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</si>
  <si>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</si>
  <si>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</si>
  <si>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</si>
  <si>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</si>
  <si>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</si>
  <si>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</si>
  <si>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</si>
  <si>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</si>
  <si>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</si>
  <si>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</si>
  <si>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</si>
  <si>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</si>
  <si>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</si>
  <si>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</si>
  <si>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</si>
  <si>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</si>
  <si>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</si>
  <si>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</si>
  <si>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</si>
  <si>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</si>
  <si>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</si>
  <si>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</si>
  <si>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</si>
  <si>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</si>
  <si>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</si>
  <si>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</si>
  <si>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</si>
  <si>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</si>
  <si>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</si>
  <si>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</si>
  <si>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</si>
  <si>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</si>
  <si>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</si>
  <si>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</si>
  <si>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</si>
  <si>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</si>
  <si>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</si>
  <si>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</si>
  <si>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</si>
  <si>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</si>
  <si>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</si>
  <si>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</si>
  <si>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</si>
  <si>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</si>
  <si>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</si>
  <si>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</si>
  <si>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</si>
  <si>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</si>
  <si>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</si>
  <si>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</si>
  <si>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</si>
  <si>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</si>
  <si>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</si>
  <si>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</si>
  <si>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</si>
  <si>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</si>
  <si>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</si>
  <si>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</si>
  <si>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</si>
  <si>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</si>
  <si>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</si>
  <si>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</si>
  <si>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</si>
  <si>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</si>
  <si>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</si>
  <si>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</si>
  <si>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</si>
  <si>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</si>
  <si>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</si>
  <si>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</si>
  <si>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</si>
  <si>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</si>
  <si>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</si>
  <si>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</si>
  <si>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</si>
  <si>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</si>
  <si>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</si>
  <si>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</si>
  <si>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</si>
  <si>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</si>
  <si>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</si>
  <si>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</si>
  <si>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</si>
  <si>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</si>
  <si>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</si>
  <si>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</si>
  <si>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</si>
  <si>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</si>
  <si>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</si>
  <si>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</si>
  <si>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</si>
  <si>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</si>
  <si>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</si>
  <si>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</si>
  <si>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</si>
  <si>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</si>
  <si>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</si>
  <si>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</si>
  <si>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</si>
  <si>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</si>
  <si>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</si>
  <si>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</si>
  <si>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</si>
  <si>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</si>
  <si>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</si>
  <si>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</si>
  <si>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</si>
  <si>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</si>
  <si>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</si>
  <si>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</si>
  <si>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</si>
  <si>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</si>
  <si>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</si>
  <si>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</si>
  <si>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</si>
  <si>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</si>
  <si>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</si>
  <si>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</si>
  <si>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</si>
  <si>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</si>
  <si>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</si>
  <si>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</si>
  <si>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</si>
  <si>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</si>
  <si>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</si>
  <si>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</si>
  <si>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</si>
  <si>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</si>
  <si>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</si>
  <si>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</si>
  <si>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</si>
  <si>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</si>
  <si>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</si>
  <si>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</si>
  <si>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</si>
  <si>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</si>
  <si>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</si>
  <si>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</si>
  <si>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</si>
  <si>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</si>
  <si>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</si>
  <si>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</si>
  <si>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</si>
  <si>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</si>
  <si>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</si>
  <si>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</si>
  <si>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</si>
  <si>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</si>
  <si>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</si>
  <si>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</si>
  <si>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</si>
  <si>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</si>
  <si>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</si>
  <si>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</si>
  <si>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</si>
  <si>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</si>
  <si>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</si>
  <si>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</si>
  <si>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</si>
  <si>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</si>
  <si>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</si>
  <si>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</si>
  <si>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</si>
  <si>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</si>
  <si>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</si>
  <si>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</si>
  <si>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</si>
  <si>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</si>
  <si>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</si>
  <si>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</si>
  <si>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</si>
  <si>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</si>
  <si>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</si>
  <si>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</si>
  <si>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</si>
  <si>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</si>
  <si>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</si>
  <si>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</si>
  <si>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</si>
  <si>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</si>
  <si>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</si>
  <si>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</si>
  <si>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</si>
  <si>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</si>
  <si>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</si>
  <si>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</si>
  <si>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</si>
  <si>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</si>
  <si>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</si>
  <si>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</si>
  <si>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</si>
  <si>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</si>
  <si>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</si>
  <si>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</si>
  <si>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</si>
  <si>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</si>
  <si>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</si>
  <si>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</si>
  <si>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</si>
  <si>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</si>
  <si>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</si>
  <si>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</si>
  <si>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</si>
  <si>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</si>
  <si>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</si>
  <si>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</si>
  <si>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</si>
  <si>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</si>
  <si>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</si>
  <si>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</si>
  <si>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</si>
  <si>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</si>
  <si>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</si>
  <si>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</si>
  <si>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</si>
  <si>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</si>
  <si>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</si>
  <si>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</si>
  <si>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</si>
  <si>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</si>
  <si>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</si>
  <si>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</si>
  <si>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</si>
  <si>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</si>
  <si>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</si>
  <si>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</si>
  <si>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</si>
  <si>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</si>
  <si>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</si>
  <si>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</si>
  <si>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</si>
  <si>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</si>
  <si>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</si>
  <si>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</si>
  <si>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</si>
  <si>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</si>
  <si>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</si>
  <si>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</si>
  <si>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</si>
  <si>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</si>
  <si>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</si>
  <si>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</si>
  <si>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</si>
  <si>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</si>
  <si>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</si>
  <si>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</si>
  <si>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</si>
  <si>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</si>
  <si>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</si>
  <si>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</si>
  <si>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</si>
  <si>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</si>
  <si>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</si>
  <si>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</si>
  <si>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</si>
  <si>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</si>
  <si>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</si>
  <si>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</si>
  <si>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</si>
  <si>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</si>
  <si>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</si>
  <si>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</si>
  <si>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</si>
  <si>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</si>
  <si>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</si>
  <si>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</si>
  <si>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</si>
  <si>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</si>
  <si>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</si>
  <si>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</si>
  <si>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</si>
  <si>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</si>
  <si>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</si>
  <si>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</si>
  <si>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</si>
  <si>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</si>
  <si>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</si>
  <si>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</si>
  <si>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</si>
  <si>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</si>
  <si>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</si>
  <si>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</si>
  <si>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</si>
  <si>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</si>
  <si>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</si>
  <si>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</si>
  <si>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</si>
  <si>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</si>
  <si>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</si>
  <si>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</si>
  <si>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</si>
  <si>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</si>
  <si>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</si>
  <si>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</si>
  <si>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</si>
  <si>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</si>
  <si>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</si>
  <si>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</si>
  <si>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</si>
  <si>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</si>
  <si>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</si>
  <si>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</si>
  <si>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</si>
  <si>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</si>
  <si>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</si>
  <si>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</si>
  <si>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</si>
  <si>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</si>
  <si>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</si>
  <si>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</si>
  <si>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</si>
  <si>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</si>
  <si>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</si>
  <si>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</si>
  <si>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</si>
  <si>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</si>
  <si>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</si>
  <si>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</si>
  <si>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</si>
  <si>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</si>
  <si>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</si>
  <si>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</si>
  <si>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</si>
  <si>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</si>
  <si>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</si>
  <si>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</si>
  <si>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</si>
  <si>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</si>
  <si>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</si>
  <si>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</si>
  <si>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</si>
  <si>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</si>
  <si>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</si>
  <si>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</si>
  <si>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</si>
  <si>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</si>
  <si>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</si>
  <si>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</si>
  <si>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</si>
  <si>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</si>
  <si>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</si>
  <si>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</si>
  <si>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</si>
  <si>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</si>
  <si>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</si>
  <si>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</si>
  <si>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</si>
  <si>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</si>
  <si>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</si>
  <si>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</si>
  <si>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</si>
  <si>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</si>
  <si>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</si>
  <si>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</si>
  <si>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</si>
  <si>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</si>
  <si>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</si>
  <si>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</si>
  <si>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</si>
  <si>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</si>
  <si>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</si>
  <si>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</si>
  <si>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</si>
  <si>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</si>
  <si>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</si>
  <si>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</si>
  <si>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</si>
  <si>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</si>
  <si>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</si>
  <si>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</si>
  <si>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</si>
  <si>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</si>
  <si>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</si>
  <si>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</si>
  <si>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</si>
  <si>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</si>
  <si>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</si>
  <si>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</si>
  <si>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</si>
  <si>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</si>
  <si>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</si>
  <si>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</si>
  <si>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</si>
  <si>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</si>
  <si>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</si>
  <si>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</si>
  <si>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</si>
  <si>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</si>
  <si>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</si>
  <si>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</si>
  <si>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</si>
  <si>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</si>
  <si>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</si>
  <si>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</si>
  <si>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</si>
  <si>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</si>
  <si>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</si>
  <si>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</si>
  <si>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</si>
  <si>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</si>
  <si>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</si>
  <si>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</si>
  <si>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</si>
  <si>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</si>
  <si>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</si>
  <si>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</si>
  <si>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</si>
  <si>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</si>
  <si>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</si>
  <si>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</si>
  <si>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</si>
  <si>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</si>
  <si>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</si>
  <si>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</si>
  <si>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</si>
  <si>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</si>
  <si>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</si>
  <si>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</si>
  <si>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</si>
  <si>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</si>
  <si>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</si>
  <si>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</si>
  <si>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</si>
  <si>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</si>
  <si>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</si>
  <si>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</si>
  <si>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</si>
  <si>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</si>
  <si>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</si>
  <si>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</si>
  <si>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</si>
  <si>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</si>
  <si>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</si>
  <si>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</si>
  <si>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</si>
  <si>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</si>
  <si>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</si>
  <si>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</si>
  <si>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</si>
  <si>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</si>
  <si>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</si>
  <si>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</si>
  <si>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</si>
  <si>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</si>
  <si>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</si>
  <si>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</si>
  <si>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</si>
  <si>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</si>
  <si>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</si>
  <si>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</si>
  <si>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</si>
  <si>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</si>
  <si>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</si>
  <si>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</si>
  <si>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</si>
  <si>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</si>
  <si>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</si>
  <si>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</si>
  <si>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</si>
  <si>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</si>
  <si>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</si>
  <si>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</si>
  <si>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</si>
  <si>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</si>
  <si>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</si>
  <si>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</si>
  <si>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</si>
  <si>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</si>
  <si>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</si>
  <si>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</si>
  <si>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</si>
  <si>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</si>
  <si>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</si>
  <si>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</si>
  <si>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</si>
  <si>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</si>
  <si>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</si>
  <si>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</si>
  <si>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</si>
  <si>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</si>
  <si>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</si>
  <si>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</si>
  <si>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</si>
  <si>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</si>
  <si>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</si>
  <si>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</si>
  <si>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</si>
  <si>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</si>
  <si>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</si>
  <si>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</si>
  <si>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</si>
  <si>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</si>
  <si>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</si>
  <si>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</si>
  <si>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</si>
  <si>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</si>
  <si>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</si>
  <si>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</si>
  <si>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</si>
  <si>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</si>
  <si>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</si>
  <si>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</si>
  <si>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</si>
  <si>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</si>
  <si>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</si>
  <si>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</si>
  <si>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</si>
  <si>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</si>
  <si>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</si>
  <si>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</si>
  <si>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</si>
  <si>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</si>
  <si>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</si>
  <si>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</si>
  <si>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</si>
  <si>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</si>
  <si>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</si>
  <si>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</si>
  <si>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</si>
  <si>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</si>
  <si>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</si>
  <si>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</si>
  <si>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</si>
  <si>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</si>
  <si>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</si>
  <si>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</si>
  <si>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</si>
  <si>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</si>
  <si>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</si>
  <si>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</si>
  <si>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</si>
  <si>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</si>
  <si>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</si>
  <si>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</si>
  <si>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</si>
  <si>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</si>
  <si>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</si>
  <si>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</si>
  <si>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</si>
  <si>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</si>
  <si>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</si>
  <si>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</si>
  <si>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</si>
  <si>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</si>
  <si>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</si>
  <si>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</si>
  <si>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</si>
  <si>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</si>
  <si>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</si>
  <si>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</si>
  <si>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</si>
  <si>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</si>
  <si>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</si>
  <si>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</si>
  <si>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</si>
  <si>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</si>
  <si>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</si>
  <si>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</si>
  <si>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</si>
  <si>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</si>
  <si>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</si>
  <si>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</si>
  <si>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</si>
  <si>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</si>
  <si>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</si>
  <si>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</si>
  <si>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</si>
  <si>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</si>
  <si>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</si>
  <si>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</si>
  <si>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</si>
  <si>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</si>
  <si>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</si>
  <si>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</si>
  <si>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</si>
  <si>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</si>
  <si>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</si>
  <si>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</si>
  <si>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</si>
  <si>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</si>
  <si>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</si>
  <si>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</si>
  <si>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</si>
  <si>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</si>
  <si>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</si>
  <si>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</si>
  <si>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</si>
  <si>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</si>
  <si>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</si>
  <si>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</si>
  <si>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</si>
  <si>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</si>
  <si>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</si>
  <si>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</si>
  <si>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</si>
  <si>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</si>
  <si>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</si>
  <si>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</si>
  <si>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</si>
  <si>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</si>
  <si>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</si>
  <si>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</si>
  <si>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</si>
  <si>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</si>
  <si>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</si>
  <si>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</si>
  <si>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</si>
  <si>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</si>
  <si>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</si>
  <si>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</si>
  <si>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</si>
  <si>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</si>
  <si>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</si>
  <si>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</si>
  <si>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</si>
  <si>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</si>
  <si>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</si>
  <si>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</si>
  <si>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</si>
  <si>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</si>
  <si>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</si>
  <si>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</si>
  <si>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</si>
  <si>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</si>
  <si>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</si>
  <si>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</si>
  <si>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</si>
  <si>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</si>
  <si>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</si>
  <si>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</si>
  <si>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</si>
  <si>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</si>
  <si>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</si>
  <si>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</si>
  <si>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</si>
  <si>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</si>
  <si>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</si>
  <si>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</si>
  <si>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</si>
  <si>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</si>
  <si>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</si>
  <si>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</si>
  <si>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</si>
  <si>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</si>
  <si>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</si>
  <si>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</si>
  <si>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</si>
  <si>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</si>
  <si>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</si>
  <si>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</si>
  <si>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</si>
  <si>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</si>
  <si>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</si>
  <si>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</si>
  <si>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</si>
  <si>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</si>
  <si>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</si>
  <si>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</si>
  <si>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</si>
  <si>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</si>
  <si>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</si>
  <si>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</si>
  <si>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</si>
  <si>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</si>
  <si>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</si>
  <si>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</si>
  <si>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</si>
  <si>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</si>
  <si>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</si>
  <si>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</si>
  <si>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</si>
  <si>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</si>
  <si>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</si>
  <si>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</si>
  <si>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</si>
  <si>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</si>
  <si>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</si>
  <si>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</si>
  <si>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</si>
  <si>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</si>
  <si>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</si>
  <si>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</si>
  <si>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</si>
  <si>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</si>
  <si>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</si>
  <si>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</si>
  <si>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</si>
  <si>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</si>
  <si>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</si>
  <si>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</si>
  <si>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</si>
  <si>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</si>
  <si>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</si>
  <si>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</si>
  <si>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</si>
  <si>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</si>
  <si>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</si>
  <si>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</si>
  <si>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</si>
  <si>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</si>
  <si>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</si>
  <si>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</si>
  <si>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</si>
  <si>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</si>
  <si>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</si>
  <si>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</si>
  <si>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</si>
  <si>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</si>
  <si>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</si>
  <si>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</si>
  <si>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</si>
  <si>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</si>
  <si>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</si>
  <si>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</si>
  <si>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</si>
  <si>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</si>
  <si>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</si>
  <si>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</si>
  <si>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</si>
  <si>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</si>
  <si>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</si>
  <si>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</si>
  <si>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</si>
  <si>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</si>
  <si>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</si>
  <si>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</si>
  <si>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</si>
  <si>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</si>
  <si>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</si>
  <si>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</si>
  <si>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</si>
  <si>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</si>
  <si>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</si>
  <si>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</si>
  <si>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</si>
  <si>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</si>
  <si>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</si>
  <si>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</si>
  <si>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</si>
  <si>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</si>
  <si>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</si>
  <si>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</si>
  <si>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</si>
  <si>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</si>
  <si>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</si>
  <si>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</si>
  <si>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</si>
  <si>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</si>
  <si>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</si>
  <si>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</si>
  <si>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</si>
  <si>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</si>
  <si>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</si>
  <si>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</si>
  <si>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</si>
  <si>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</si>
  <si>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</si>
  <si>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</si>
  <si>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</si>
  <si>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</si>
  <si>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</si>
  <si>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</si>
  <si>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</si>
  <si>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</si>
  <si>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</si>
  <si>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</si>
  <si>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</si>
  <si>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</si>
  <si>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</si>
  <si>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</si>
  <si>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</si>
  <si>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</si>
  <si>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</si>
  <si>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</si>
  <si>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</si>
  <si>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</si>
  <si>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</si>
  <si>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</si>
  <si>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</si>
  <si>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</si>
  <si>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</si>
  <si>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</si>
  <si>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</si>
  <si>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</si>
  <si>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</si>
  <si>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</si>
  <si>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</si>
  <si>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</si>
  <si>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</si>
  <si>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</si>
  <si>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</si>
  <si>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</si>
  <si>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</si>
  <si>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</si>
  <si>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</si>
  <si>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</si>
  <si>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</si>
  <si>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</si>
  <si>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</si>
  <si>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</si>
  <si>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</si>
  <si>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</si>
  <si>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</si>
  <si>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</si>
  <si>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</si>
  <si>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</si>
  <si>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</si>
  <si>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</si>
  <si>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</si>
  <si>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</si>
  <si>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</si>
  <si>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</si>
  <si>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</si>
  <si>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</si>
  <si>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</si>
  <si>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</si>
  <si>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</si>
  <si>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</si>
  <si>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</si>
  <si>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</si>
  <si>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</si>
  <si>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</si>
  <si>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</si>
  <si>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</si>
  <si>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</si>
  <si>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</si>
  <si>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</si>
  <si>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</si>
  <si>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</si>
  <si>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</si>
  <si>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</si>
  <si>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</si>
  <si>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</si>
  <si>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</si>
  <si>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</si>
  <si>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</si>
  <si>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</si>
  <si>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</si>
  <si>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</si>
  <si>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</si>
  <si>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</si>
  <si>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</si>
  <si>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</si>
  <si>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</si>
  <si>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</si>
  <si>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</si>
  <si>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</si>
  <si>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</si>
  <si>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</si>
  <si>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</si>
  <si>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</si>
  <si>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</si>
  <si>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</si>
  <si>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</si>
  <si>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</si>
  <si>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</si>
  <si>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</si>
  <si>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</si>
  <si>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</si>
  <si>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</si>
  <si>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</si>
  <si>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</si>
  <si>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</si>
  <si>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</si>
  <si>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</si>
  <si>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</si>
  <si>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</si>
  <si>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</si>
  <si>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</si>
  <si>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</si>
  <si>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</si>
  <si>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</si>
  <si>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</si>
  <si>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</si>
  <si>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</si>
  <si>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</si>
  <si>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</si>
  <si>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</si>
  <si>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</si>
  <si>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</si>
  <si>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</si>
  <si>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</si>
  <si>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</si>
  <si>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</si>
  <si>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</si>
  <si>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</si>
  <si>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</si>
  <si>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</si>
  <si>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</si>
  <si>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</si>
  <si>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</si>
  <si>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</si>
  <si>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</si>
  <si>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</si>
  <si>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</si>
  <si>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</si>
  <si>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</si>
  <si>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</si>
  <si>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</si>
  <si>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</si>
  <si>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</si>
  <si>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</si>
  <si>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</si>
  <si>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</si>
  <si>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</si>
  <si>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</si>
  <si>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</si>
  <si>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</si>
  <si>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</si>
  <si>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</si>
  <si>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</si>
  <si>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</si>
  <si>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</si>
  <si>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</si>
  <si>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</si>
  <si>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</si>
  <si>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</si>
  <si>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</si>
  <si>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</si>
  <si>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</si>
  <si>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</si>
  <si>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</si>
  <si>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</si>
  <si>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</si>
  <si>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</si>
  <si>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</si>
  <si>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</si>
  <si>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</si>
  <si>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</si>
  <si>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</si>
  <si>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</si>
  <si>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</si>
  <si>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</si>
  <si>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</si>
  <si>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</si>
  <si>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</si>
  <si>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</si>
  <si>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</si>
  <si>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</si>
  <si>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</si>
  <si>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</si>
  <si>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</si>
  <si>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</si>
  <si>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</si>
  <si>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</si>
  <si>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</si>
  <si>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</si>
  <si>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</si>
  <si>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</si>
  <si>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</si>
  <si>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</si>
  <si>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</si>
  <si>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</si>
  <si>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</si>
  <si>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</si>
  <si>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</si>
  <si>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</si>
  <si>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</si>
  <si>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</si>
  <si>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</si>
  <si>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</si>
  <si>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</si>
  <si>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</si>
  <si>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</si>
  <si>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</si>
  <si>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</si>
  <si>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</si>
  <si>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</si>
  <si>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</si>
  <si>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</si>
  <si>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</si>
  <si>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</si>
  <si>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</si>
  <si>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</si>
  <si>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</si>
  <si>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</si>
  <si>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</si>
  <si>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</si>
  <si>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</si>
  <si>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</si>
  <si>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</si>
  <si>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</si>
  <si>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</si>
  <si>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</si>
  <si>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</si>
  <si>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</si>
  <si>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</si>
  <si>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</si>
  <si>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</si>
  <si>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</si>
  <si>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</si>
  <si>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</si>
  <si>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</si>
  <si>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</si>
  <si>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</si>
  <si>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</si>
  <si>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</si>
  <si>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</si>
  <si>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</si>
  <si>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</si>
  <si>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</si>
  <si>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</si>
  <si>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</si>
  <si>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</si>
  <si>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</si>
  <si>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</si>
  <si>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</si>
  <si>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</si>
  <si>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</si>
  <si>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</si>
  <si>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</si>
  <si>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</si>
  <si>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</si>
  <si>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</si>
  <si>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</si>
  <si>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</si>
  <si>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</si>
  <si>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</si>
  <si>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</si>
  <si>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</si>
  <si>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</si>
  <si>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</si>
  <si>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</si>
  <si>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</si>
  <si>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</si>
  <si>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</si>
  <si>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</si>
  <si>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</si>
  <si>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</si>
  <si>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</si>
  <si>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</si>
  <si>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</si>
  <si>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</si>
  <si>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</si>
  <si>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</si>
  <si>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</si>
  <si>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</si>
  <si>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</si>
  <si>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</si>
  <si>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</si>
  <si>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</si>
  <si>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</si>
  <si>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</si>
  <si>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</si>
  <si>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</si>
  <si>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</si>
  <si>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</si>
  <si>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</si>
  <si>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</si>
  <si>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</si>
  <si>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</si>
  <si>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</si>
  <si>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</si>
  <si>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</si>
  <si>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</si>
  <si>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</si>
  <si>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</si>
  <si>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</si>
  <si>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</si>
  <si>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</si>
  <si>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</si>
  <si>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</si>
  <si>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</si>
  <si>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</si>
  <si>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</si>
  <si>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</si>
  <si>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</si>
  <si>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</si>
  <si>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</si>
  <si>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</si>
  <si>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</si>
  <si>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</si>
  <si>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</si>
  <si>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</si>
  <si>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</si>
  <si>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</si>
  <si>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</si>
  <si>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</si>
  <si>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</si>
  <si>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</si>
  <si>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</si>
  <si>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</si>
  <si>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</si>
  <si>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</si>
  <si>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</si>
  <si>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</si>
  <si>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</si>
  <si>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</si>
  <si>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</si>
  <si>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</si>
  <si>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</si>
  <si>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</si>
  <si>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</si>
  <si>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</si>
  <si>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</si>
  <si>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</si>
  <si>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</si>
  <si>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</si>
  <si>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</si>
  <si>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</si>
  <si>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</si>
  <si>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</si>
  <si>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</si>
  <si>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</si>
  <si>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</si>
  <si>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</si>
  <si>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</si>
  <si>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</si>
  <si>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</si>
  <si>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</si>
  <si>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</si>
  <si>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</si>
  <si>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</si>
  <si>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</si>
  <si>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</si>
  <si>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</si>
  <si>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</si>
  <si>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</si>
  <si>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</si>
  <si>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</si>
  <si>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</si>
  <si>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</si>
  <si>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</si>
  <si>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</si>
  <si>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</si>
  <si>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</si>
  <si>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</si>
  <si>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</si>
  <si>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</si>
  <si>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</si>
  <si>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</si>
  <si>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</si>
  <si>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</si>
  <si>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</si>
  <si>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</si>
  <si>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</si>
  <si>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</si>
  <si>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</si>
  <si>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</si>
  <si>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</si>
  <si>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</si>
  <si>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</si>
  <si>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</si>
  <si>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</si>
  <si>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</si>
  <si>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</si>
  <si>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</si>
  <si>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</si>
  <si>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</si>
  <si>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</si>
  <si>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</si>
  <si>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</si>
  <si>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</si>
  <si>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</si>
  <si>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</si>
  <si>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</si>
  <si>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</si>
  <si>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</si>
  <si>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</si>
  <si>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</si>
  <si>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</si>
  <si>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</si>
  <si>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</si>
  <si>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</si>
  <si>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</si>
  <si>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</si>
  <si>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</si>
  <si>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</si>
  <si>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</si>
  <si>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</si>
  <si>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</si>
  <si>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</si>
  <si>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</si>
  <si>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</si>
  <si>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</si>
  <si>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</si>
  <si>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</si>
  <si>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</si>
  <si>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</si>
  <si>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</si>
  <si>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</si>
  <si>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</si>
  <si>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</si>
  <si>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</si>
  <si>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</si>
  <si>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</si>
  <si>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</si>
  <si>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</si>
  <si>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</si>
  <si>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</si>
  <si>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</si>
  <si>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</si>
  <si>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</si>
  <si>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</si>
  <si>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</si>
  <si>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</si>
  <si>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</si>
  <si>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</si>
  <si>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</si>
  <si>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</si>
  <si>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</si>
  <si>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</si>
  <si>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</si>
  <si>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</si>
  <si>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</si>
  <si>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</si>
  <si>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</si>
  <si>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</si>
  <si>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</si>
  <si>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</si>
  <si>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</si>
  <si>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</si>
  <si>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</si>
  <si>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</si>
  <si>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</si>
  <si>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</si>
  <si>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</si>
  <si>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</si>
  <si>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</si>
  <si>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</si>
  <si>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</si>
  <si>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</si>
  <si>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</si>
  <si>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</si>
  <si>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</si>
  <si>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</si>
  <si>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</si>
  <si>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</si>
  <si>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</si>
  <si>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</si>
  <si>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</si>
  <si>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</si>
  <si>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</si>
  <si>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</si>
  <si>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</si>
  <si>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</si>
  <si>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</si>
  <si>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</si>
  <si>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</si>
  <si>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</si>
  <si>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</si>
  <si>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</si>
  <si>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</si>
  <si>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</si>
  <si>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</si>
  <si>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</si>
  <si>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</si>
  <si>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</si>
  <si>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</si>
  <si>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</si>
  <si>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</si>
  <si>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</si>
  <si>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</si>
  <si>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</si>
  <si>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</si>
  <si>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</si>
  <si>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</si>
  <si>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</si>
  <si>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</si>
  <si>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</si>
  <si>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</si>
  <si>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</si>
  <si>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</si>
  <si>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</si>
  <si>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</si>
  <si>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</si>
  <si>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</si>
  <si>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</si>
  <si>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</si>
  <si>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</si>
  <si>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</si>
  <si>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</si>
  <si>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</si>
  <si>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</si>
  <si>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</si>
  <si>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</si>
  <si>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</si>
  <si>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</si>
  <si>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</si>
  <si>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</si>
  <si>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</si>
  <si>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</si>
  <si>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</si>
  <si>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</si>
  <si>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</si>
  <si>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</si>
  <si>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</si>
  <si>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</si>
  <si>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</si>
  <si>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</si>
  <si>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</si>
  <si>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</si>
  <si>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</si>
  <si>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</si>
  <si>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</si>
  <si>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</si>
  <si>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</si>
  <si>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</si>
  <si>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</si>
  <si>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</si>
  <si>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</si>
  <si>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</si>
  <si>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</si>
  <si>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</si>
  <si>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</si>
  <si>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</si>
  <si>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</si>
  <si>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</si>
  <si>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</si>
  <si>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</si>
  <si>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</si>
  <si>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</si>
  <si>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</si>
  <si>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</si>
  <si>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</si>
  <si>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</si>
  <si>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</si>
  <si>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</si>
  <si>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</si>
  <si>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</si>
  <si>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</si>
  <si>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</si>
  <si>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</si>
  <si>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</si>
  <si>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</si>
  <si>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</si>
  <si>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</si>
  <si>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</si>
  <si>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</si>
  <si>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</si>
  <si>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</si>
  <si>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</si>
  <si>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</si>
  <si>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</si>
  <si>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</si>
  <si>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</si>
  <si>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</si>
  <si>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</si>
  <si>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</si>
  <si>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</si>
  <si>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</si>
  <si>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</si>
  <si>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</si>
  <si>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</si>
  <si>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</si>
  <si>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</si>
  <si>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</si>
  <si>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</si>
  <si>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</si>
  <si>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</si>
  <si>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</si>
  <si>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</si>
  <si>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</si>
  <si>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</si>
  <si>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</si>
  <si>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</si>
  <si>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</si>
  <si>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</si>
  <si>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</si>
  <si>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</si>
  <si>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</si>
  <si>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</si>
  <si>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</si>
  <si>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</si>
  <si>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</si>
  <si>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</si>
  <si>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</si>
  <si>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</si>
  <si>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</si>
  <si>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</si>
  <si>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</si>
  <si>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</si>
  <si>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</si>
  <si>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</si>
  <si>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</si>
  <si>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</si>
  <si>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</si>
  <si>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</si>
  <si>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</si>
  <si>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</si>
  <si>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</si>
  <si>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</si>
  <si>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</si>
  <si>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</si>
  <si>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</si>
  <si>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</si>
  <si>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</si>
  <si>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</si>
  <si>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</si>
  <si>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</si>
  <si>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</si>
  <si>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</si>
  <si>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</si>
  <si>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</si>
  <si>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</si>
  <si>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</si>
  <si>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</si>
  <si>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</si>
  <si>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</si>
  <si>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</si>
  <si>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</si>
  <si>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</si>
  <si>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</si>
  <si>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</si>
  <si>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</si>
  <si>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</si>
  <si>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</si>
  <si>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</si>
  <si>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</si>
  <si>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</si>
  <si>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</si>
  <si>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</si>
  <si>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</si>
  <si>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</si>
  <si>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</si>
  <si>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</si>
  <si>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</si>
  <si>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</si>
  <si>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</si>
  <si>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</si>
  <si>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</si>
  <si>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</si>
  <si>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</si>
  <si>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</si>
  <si>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</si>
  <si>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</si>
  <si>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</si>
  <si>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</si>
  <si>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</si>
  <si>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</si>
  <si>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</si>
  <si>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</si>
  <si>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</si>
  <si>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</si>
  <si>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</si>
  <si>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</si>
  <si>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</si>
  <si>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</si>
  <si>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</si>
  <si>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</si>
  <si>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</si>
  <si>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</si>
  <si>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</si>
  <si>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</si>
  <si>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</si>
  <si>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</si>
  <si>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</si>
  <si>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</si>
  <si>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</si>
  <si>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</si>
  <si>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</si>
  <si>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</si>
  <si>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</si>
  <si>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</si>
  <si>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</si>
  <si>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</si>
  <si>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</si>
  <si>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</si>
  <si>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</si>
  <si>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</si>
  <si>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</si>
  <si>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</si>
  <si>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</si>
  <si>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</si>
  <si>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</si>
  <si>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</si>
  <si>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</si>
  <si>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</si>
  <si>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</si>
  <si>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</si>
  <si>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</si>
  <si>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</si>
  <si>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</si>
  <si>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</si>
  <si>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</si>
  <si>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</si>
  <si>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</si>
  <si>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</si>
  <si>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</si>
  <si>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</si>
  <si>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</si>
  <si>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</si>
  <si>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</si>
  <si>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</si>
  <si>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</si>
  <si>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</si>
  <si>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</si>
  <si>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</si>
  <si>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</si>
  <si>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</si>
  <si>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</si>
  <si>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</si>
  <si>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</si>
  <si>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</si>
  <si>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</si>
  <si>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</si>
  <si>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</si>
  <si>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</si>
  <si>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</si>
  <si>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</si>
  <si>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</si>
  <si>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</si>
  <si>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</si>
  <si>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</si>
  <si>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</si>
  <si>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</si>
  <si>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</si>
  <si>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</si>
  <si>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</si>
  <si>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</si>
  <si>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</si>
  <si>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</si>
  <si>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</si>
  <si>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</si>
  <si>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</si>
  <si>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</si>
  <si>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</si>
  <si>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</si>
  <si>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</si>
  <si>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</si>
  <si>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</si>
  <si>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</si>
  <si>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</si>
  <si>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</si>
  <si>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</si>
  <si>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</si>
  <si>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</si>
  <si>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</si>
  <si>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</si>
  <si>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</si>
  <si>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</si>
  <si>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</si>
  <si>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</si>
  <si>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</si>
  <si>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</si>
  <si>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</si>
  <si>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</si>
  <si>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</si>
  <si>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</si>
  <si>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</si>
  <si>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</si>
  <si>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</si>
  <si>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</si>
  <si>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</si>
  <si>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</si>
  <si>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</si>
  <si>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</si>
  <si>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</si>
  <si>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</si>
  <si>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</si>
  <si>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</si>
  <si>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</si>
  <si>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</si>
  <si>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</si>
  <si>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</si>
  <si>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</si>
  <si>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</si>
  <si>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</si>
  <si>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</si>
  <si>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</si>
  <si>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</si>
  <si>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</si>
  <si>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</si>
  <si>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</si>
  <si>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</si>
  <si>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</si>
  <si>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</si>
  <si>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</si>
  <si>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</si>
  <si>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</si>
  <si>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</si>
  <si>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</si>
  <si>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</si>
  <si>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</si>
  <si>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</si>
  <si>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</si>
  <si>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</si>
  <si>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</si>
  <si>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</si>
  <si>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</si>
  <si>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</si>
  <si>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</si>
  <si>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</si>
  <si>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</si>
  <si>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</si>
  <si>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</si>
  <si>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</si>
  <si>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</si>
  <si>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</si>
  <si>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</si>
  <si>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</si>
  <si>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</si>
  <si>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</si>
  <si>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</si>
  <si>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</si>
  <si>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</si>
  <si>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</si>
  <si>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</si>
  <si>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</si>
  <si>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</si>
  <si>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</si>
  <si>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</si>
  <si>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</si>
  <si>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</si>
  <si>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</si>
  <si>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</si>
  <si>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</si>
  <si>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</si>
  <si>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</si>
  <si>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</si>
  <si>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</si>
  <si>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</si>
  <si>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</si>
  <si>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</si>
  <si>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</si>
  <si>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</si>
  <si>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</si>
  <si>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</si>
  <si>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</si>
  <si>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</si>
  <si>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</si>
  <si>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</si>
  <si>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</si>
  <si>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</si>
  <si>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</si>
  <si>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</si>
  <si>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</si>
  <si>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</si>
  <si>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</si>
  <si>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</si>
  <si>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</si>
  <si>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</si>
  <si>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</si>
  <si>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</si>
  <si>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</si>
  <si>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</si>
  <si>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</si>
  <si>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</si>
  <si>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</si>
  <si>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</si>
  <si>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</si>
  <si>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</si>
  <si>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</si>
  <si>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</si>
  <si>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</si>
  <si>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</si>
  <si>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</si>
  <si>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</si>
  <si>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</si>
  <si>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</si>
  <si>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</si>
  <si>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</si>
  <si>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</si>
  <si>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</si>
  <si>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</si>
  <si>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</si>
  <si>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</si>
  <si>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</si>
  <si>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</si>
  <si>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</si>
  <si>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</si>
  <si>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</si>
  <si>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</si>
  <si>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</si>
  <si>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</si>
  <si>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</si>
  <si>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</si>
  <si>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</si>
  <si>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</si>
  <si>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</si>
  <si>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</si>
  <si>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</si>
  <si>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</si>
  <si>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</si>
  <si>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</si>
  <si>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</si>
  <si>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</si>
  <si>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</si>
  <si>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</si>
  <si>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</si>
  <si>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</si>
  <si>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</si>
  <si>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</si>
  <si>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</si>
  <si>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</si>
  <si>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</si>
  <si>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</si>
  <si>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</si>
  <si>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</si>
  <si>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</si>
  <si>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</si>
  <si>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</si>
  <si>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</si>
  <si>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</si>
  <si>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</si>
  <si>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</si>
  <si>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</si>
  <si>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</si>
  <si>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</si>
  <si>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</si>
  <si>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</si>
  <si>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</si>
  <si>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</si>
  <si>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</si>
  <si>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</si>
  <si>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</si>
  <si>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</si>
  <si>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</si>
  <si>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</si>
  <si>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</si>
  <si>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</si>
  <si>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</si>
  <si>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</si>
  <si>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</si>
  <si>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</si>
  <si>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</si>
  <si>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</si>
  <si>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</si>
  <si>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</si>
  <si>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</si>
  <si>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</si>
  <si>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</si>
  <si>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</si>
  <si>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</si>
  <si>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</si>
  <si>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</si>
  <si>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</si>
  <si>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</si>
  <si>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</si>
  <si>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</si>
  <si>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</si>
  <si>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</si>
  <si>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</si>
  <si>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</si>
  <si>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</si>
  <si>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</si>
  <si>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</si>
  <si>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</si>
  <si>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</si>
  <si>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</si>
  <si>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</si>
  <si>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</si>
  <si>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</si>
  <si>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</si>
  <si>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</si>
  <si>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</si>
  <si>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</si>
  <si>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</si>
  <si>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</si>
  <si>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</si>
  <si>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</si>
  <si>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</si>
  <si>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</si>
  <si>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</si>
  <si>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</si>
  <si>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</si>
  <si>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</si>
  <si>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</si>
  <si>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</si>
  <si>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</si>
  <si>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</si>
  <si>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</si>
  <si>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</si>
  <si>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</si>
  <si>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</si>
  <si>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</si>
  <si>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</si>
  <si>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</si>
  <si>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</si>
  <si>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</si>
  <si>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</si>
  <si>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</si>
  <si>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</si>
  <si>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</si>
  <si>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</si>
  <si>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</si>
  <si>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</si>
  <si>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</si>
  <si>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</si>
  <si>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</si>
  <si>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</si>
  <si>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</si>
  <si>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</si>
  <si>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</si>
  <si>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</si>
  <si>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</si>
  <si>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</si>
  <si>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</si>
  <si>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</si>
  <si>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</si>
  <si>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</si>
  <si>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</si>
  <si>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</si>
  <si>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</si>
  <si>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</si>
  <si>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</si>
  <si>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</si>
  <si>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</si>
  <si>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</si>
  <si>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</si>
  <si>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</si>
  <si>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</si>
  <si>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</si>
  <si>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</si>
  <si>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</si>
  <si>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</si>
  <si>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</si>
  <si>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</si>
  <si>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</si>
  <si>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</si>
  <si>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</si>
  <si>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</si>
  <si>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</si>
  <si>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</si>
  <si>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</si>
  <si>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</si>
  <si>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</si>
  <si>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</si>
  <si>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</si>
  <si>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</si>
  <si>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</si>
  <si>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</si>
  <si>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</si>
  <si>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</si>
  <si>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</si>
  <si>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</si>
  <si>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</si>
  <si>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</si>
  <si>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</si>
  <si>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</si>
  <si>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</si>
  <si>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</si>
  <si>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</si>
  <si>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</si>
  <si>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</si>
  <si>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</si>
  <si>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</si>
  <si>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</si>
  <si>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</si>
  <si>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</si>
  <si>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</si>
  <si>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</si>
  <si>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</si>
  <si>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</si>
  <si>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</si>
  <si>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</si>
  <si>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</si>
  <si>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</si>
  <si>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</si>
  <si>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</si>
  <si>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</si>
  <si>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</si>
  <si>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</si>
  <si>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</si>
  <si>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</si>
  <si>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</si>
  <si>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</si>
  <si>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</si>
  <si>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</si>
  <si>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</si>
  <si>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</si>
  <si>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</si>
  <si>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</si>
  <si>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</si>
  <si>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</si>
  <si>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</si>
  <si>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</si>
  <si>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</si>
  <si>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</si>
  <si>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</si>
  <si>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</si>
  <si>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</si>
  <si>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</si>
  <si>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</si>
  <si>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</si>
  <si>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</si>
  <si>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</si>
  <si>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</si>
  <si>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</si>
  <si>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</si>
  <si>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</si>
  <si>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</si>
  <si>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</si>
  <si>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</si>
  <si>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</si>
  <si>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</si>
  <si>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</si>
  <si>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</si>
  <si>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</si>
  <si>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</si>
  <si>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</si>
  <si>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</si>
  <si>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</si>
  <si>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</si>
  <si>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</si>
  <si>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</si>
  <si>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</si>
  <si>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</si>
  <si>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</si>
  <si>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</si>
  <si>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</si>
  <si>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</si>
  <si>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</si>
  <si>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</si>
  <si>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</si>
  <si>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</si>
  <si>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</si>
  <si>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</si>
  <si>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</si>
  <si>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</si>
  <si>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</si>
  <si>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</si>
  <si>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</si>
  <si>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</si>
  <si>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</si>
  <si>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</si>
  <si>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</si>
  <si>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</si>
  <si>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</si>
  <si>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</si>
  <si>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</si>
  <si>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</si>
  <si>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</si>
  <si>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</si>
  <si>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</si>
  <si>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</si>
  <si>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</si>
  <si>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</si>
  <si>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</si>
  <si>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</si>
  <si>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</si>
  <si>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</si>
  <si>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</si>
  <si>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</si>
  <si>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</si>
  <si>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</si>
  <si>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</si>
  <si>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</si>
  <si>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</si>
  <si>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</si>
  <si>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</si>
  <si>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</si>
  <si>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</si>
  <si>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</si>
  <si>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</si>
  <si>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</si>
  <si>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</si>
  <si>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</si>
  <si>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</si>
  <si>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</si>
  <si>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</si>
  <si>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</si>
  <si>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</si>
  <si>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</si>
  <si>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</si>
  <si>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</si>
  <si>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</si>
  <si>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</si>
  <si>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</si>
  <si>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</si>
  <si>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</si>
  <si>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</si>
  <si>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</si>
  <si>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</si>
  <si>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</si>
  <si>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</si>
  <si>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</si>
  <si>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</si>
  <si>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</si>
  <si>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</si>
  <si>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</si>
  <si>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</si>
  <si>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</si>
  <si>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</si>
  <si>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</si>
  <si>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</si>
  <si>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</si>
  <si>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</si>
  <si>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</si>
  <si>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</si>
  <si>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</si>
  <si>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</si>
  <si>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</si>
  <si>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</si>
  <si>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</si>
  <si>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</si>
  <si>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</si>
  <si>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</si>
  <si>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</si>
  <si>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</si>
  <si>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</si>
  <si>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</si>
  <si>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</si>
  <si>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</si>
  <si>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</si>
  <si>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</si>
  <si>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</si>
  <si>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</si>
  <si>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</si>
  <si>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</si>
  <si>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</si>
  <si>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</si>
  <si>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</si>
  <si>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</si>
  <si>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</si>
  <si>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</si>
  <si>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</si>
  <si>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</si>
  <si>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</si>
  <si>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</si>
  <si>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</si>
  <si>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</si>
  <si>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</si>
  <si>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</si>
  <si>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</si>
  <si>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</si>
  <si>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</si>
  <si>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</si>
  <si>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</si>
  <si>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</si>
  <si>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</si>
  <si>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</si>
  <si>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</si>
  <si>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</si>
  <si>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</si>
  <si>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</si>
  <si>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</si>
  <si>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</si>
  <si>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</si>
  <si>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</si>
  <si>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</si>
  <si>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</si>
  <si>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</si>
  <si>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</si>
  <si>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</si>
  <si>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</si>
  <si>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</si>
  <si>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</si>
  <si>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</si>
  <si>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</si>
  <si>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</si>
  <si>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</si>
  <si>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</si>
  <si>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</si>
  <si>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</si>
  <si>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</si>
  <si>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</si>
  <si>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</si>
  <si>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</si>
  <si>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</si>
  <si>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</si>
  <si>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</si>
  <si>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</si>
  <si>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</si>
  <si>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</si>
  <si>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</si>
  <si>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</si>
  <si>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</si>
  <si>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</si>
  <si>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</si>
  <si>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</si>
  <si>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</si>
  <si>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</si>
  <si>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</si>
  <si>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</si>
  <si>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</si>
  <si>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</si>
  <si>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</si>
  <si>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</si>
  <si>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</si>
  <si>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</si>
  <si>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</si>
  <si>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</si>
  <si>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</si>
  <si>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</si>
  <si>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</si>
  <si>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</si>
  <si>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</si>
  <si>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</si>
  <si>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</si>
  <si>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</si>
  <si>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</si>
  <si>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</si>
  <si>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</si>
  <si>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</si>
  <si>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</si>
  <si>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</si>
  <si>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</si>
  <si>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</si>
  <si>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</si>
  <si>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</si>
  <si>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</si>
  <si>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</si>
  <si>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</si>
  <si>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</si>
  <si>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</si>
  <si>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</si>
  <si>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</si>
  <si>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</si>
  <si>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</si>
  <si>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</si>
  <si>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</si>
  <si>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</si>
  <si>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</si>
  <si>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</si>
  <si>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</si>
  <si>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</si>
  <si>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</si>
  <si>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</si>
  <si>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</si>
  <si>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</si>
  <si>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</si>
  <si>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</si>
  <si>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</si>
  <si>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</si>
  <si>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</si>
  <si>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</si>
  <si>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</si>
  <si>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</si>
  <si>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</si>
  <si>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</si>
  <si>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</si>
  <si>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</si>
  <si>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</si>
  <si>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</si>
  <si>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</si>
  <si>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</si>
  <si>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</si>
  <si>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</si>
  <si>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</si>
  <si>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</si>
  <si>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</si>
  <si>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</si>
  <si>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</si>
  <si>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</si>
  <si>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</si>
  <si>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</si>
  <si>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</si>
  <si>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</si>
  <si>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</si>
  <si>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</si>
  <si>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</si>
  <si>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</si>
  <si>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</si>
  <si>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</si>
  <si>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</si>
  <si>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</si>
  <si>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</si>
  <si>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</si>
  <si>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</si>
  <si>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</si>
  <si>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</si>
  <si>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</si>
  <si>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</si>
  <si>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</si>
  <si>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</si>
  <si>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</si>
  <si>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</si>
  <si>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</si>
  <si>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</si>
  <si>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</si>
  <si>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</si>
  <si>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</si>
  <si>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</si>
  <si>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</si>
  <si>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</si>
  <si>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</si>
  <si>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</si>
  <si>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</si>
  <si>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</si>
  <si>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</si>
  <si>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</si>
  <si>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</si>
  <si>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</si>
  <si>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</si>
  <si>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</si>
  <si>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</si>
  <si>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</si>
  <si>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</si>
  <si>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</si>
  <si>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</si>
  <si>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</si>
  <si>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</si>
  <si>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</si>
  <si>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</si>
  <si>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</si>
  <si>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</si>
  <si>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</si>
  <si>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</si>
  <si>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</si>
  <si>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</si>
  <si>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</si>
  <si>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</si>
  <si>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</si>
  <si>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</si>
  <si>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</si>
  <si>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</si>
  <si>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</si>
  <si>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</si>
  <si>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</si>
  <si>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</si>
  <si>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</si>
  <si>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</si>
  <si>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</si>
  <si>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</si>
  <si>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</si>
  <si>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</si>
  <si>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</si>
  <si>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</si>
  <si>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</si>
  <si>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</si>
  <si>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</si>
  <si>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</si>
  <si>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</si>
  <si>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</si>
  <si>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</si>
  <si>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</si>
  <si>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</si>
  <si>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</si>
  <si>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</si>
  <si>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</si>
  <si>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</si>
  <si>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</si>
  <si>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</si>
  <si>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</si>
  <si>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</si>
  <si>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</si>
  <si>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</si>
  <si>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</si>
  <si>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</si>
  <si>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</si>
  <si>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</si>
  <si>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</si>
  <si>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</si>
  <si>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</si>
  <si>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</si>
  <si>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</si>
  <si>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</si>
  <si>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</si>
  <si>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</si>
  <si>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</si>
  <si>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</si>
  <si>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</si>
  <si>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</si>
  <si>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</si>
  <si>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</si>
  <si>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</si>
  <si>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</si>
  <si>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</si>
  <si>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</si>
  <si>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</si>
  <si>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</si>
  <si>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</si>
  <si>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</si>
  <si>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</si>
  <si>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</si>
  <si>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</si>
  <si>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</si>
  <si>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</si>
  <si>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</si>
  <si>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</si>
  <si>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</si>
  <si>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</si>
  <si>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</si>
  <si>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</si>
  <si>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</si>
  <si>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</si>
  <si>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</si>
  <si>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</si>
  <si>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</si>
  <si>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</si>
  <si>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</si>
  <si>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</si>
  <si>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</si>
  <si>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</si>
  <si>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</si>
  <si>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</si>
  <si>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</si>
  <si>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</si>
  <si>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</si>
  <si>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</si>
  <si>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</si>
  <si>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</si>
  <si>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</si>
  <si>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</si>
  <si>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</si>
  <si>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</si>
  <si>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</si>
  <si>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</si>
  <si>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</si>
  <si>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</si>
  <si>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</si>
  <si>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</si>
  <si>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</si>
  <si>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</si>
  <si>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</si>
  <si>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</si>
  <si>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</si>
  <si>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</si>
  <si>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</si>
  <si>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</si>
  <si>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</si>
  <si>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</si>
  <si>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</si>
  <si>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</si>
  <si>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</si>
  <si>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</si>
  <si>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</si>
  <si>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</si>
  <si>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</si>
  <si>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</si>
  <si>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</si>
  <si>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</si>
  <si>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</si>
  <si>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</si>
  <si>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</si>
  <si>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</si>
  <si>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</si>
  <si>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</si>
  <si>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</si>
  <si>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</si>
  <si>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</si>
  <si>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</si>
  <si>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</si>
  <si>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</si>
  <si>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</si>
  <si>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</si>
  <si>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</si>
  <si>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</si>
  <si>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</si>
  <si>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</si>
  <si>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</si>
  <si>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</si>
  <si>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</si>
  <si>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</si>
  <si>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</si>
  <si>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</si>
  <si>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</si>
  <si>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</si>
  <si>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</si>
  <si>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</si>
  <si>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</si>
  <si>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</si>
  <si>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</si>
  <si>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</si>
  <si>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</si>
  <si>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</si>
  <si>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</si>
  <si>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</si>
  <si>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</si>
  <si>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</si>
  <si>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</si>
  <si>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</si>
  <si>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</si>
  <si>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</si>
  <si>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</si>
  <si>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</si>
  <si>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</si>
  <si>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</si>
  <si>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</si>
  <si>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</si>
  <si>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</si>
  <si>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</si>
  <si>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</si>
  <si>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</si>
  <si>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</si>
  <si>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</si>
  <si>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</si>
  <si>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</si>
  <si>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</si>
  <si>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</si>
  <si>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</si>
  <si>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</si>
  <si>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</si>
  <si>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</si>
  <si>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</si>
  <si>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</si>
  <si>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</si>
  <si>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</si>
  <si>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</si>
  <si>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</si>
  <si>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</si>
  <si>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</si>
  <si>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</si>
  <si>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</si>
  <si>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</si>
  <si>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</si>
  <si>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</si>
  <si>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</si>
  <si>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</si>
  <si>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</si>
  <si>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</si>
  <si>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</si>
  <si>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</si>
  <si>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</si>
  <si>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</si>
  <si>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</si>
  <si>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</si>
  <si>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</si>
  <si>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</si>
  <si>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</si>
  <si>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</si>
  <si>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</si>
  <si>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</si>
  <si>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</si>
  <si>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</si>
  <si>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</si>
  <si>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</si>
  <si>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</si>
  <si>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</si>
  <si>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</si>
  <si>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</si>
  <si>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</si>
  <si>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</si>
  <si>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</si>
  <si>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</si>
  <si>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</si>
  <si>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</si>
  <si>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</si>
  <si>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</si>
  <si>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</si>
  <si>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</si>
  <si>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</si>
  <si>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</si>
  <si>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</si>
  <si>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</si>
  <si>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</si>
  <si>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</si>
  <si>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</si>
  <si>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</si>
  <si>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</si>
  <si>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</si>
  <si>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</si>
  <si>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</si>
  <si>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</si>
  <si>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</si>
  <si>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</si>
  <si>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</si>
  <si>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</si>
  <si>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</si>
  <si>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</si>
  <si>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</si>
  <si>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</si>
  <si>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</si>
  <si>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</si>
  <si>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</si>
  <si>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</si>
  <si>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</si>
  <si>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</si>
  <si>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</si>
  <si>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</si>
  <si>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</si>
  <si>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</si>
  <si>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</si>
  <si>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</si>
  <si>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</si>
  <si>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</si>
  <si>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</si>
  <si>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</si>
  <si>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</si>
  <si>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</si>
  <si>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</si>
  <si>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</si>
  <si>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</si>
  <si>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</si>
  <si>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</si>
  <si>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</si>
  <si>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</si>
  <si>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</si>
  <si>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</si>
  <si>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</si>
  <si>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</si>
  <si>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</si>
  <si>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</si>
  <si>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</si>
  <si>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</si>
  <si>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</si>
  <si>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</si>
  <si>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</si>
  <si>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</si>
  <si>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</si>
  <si>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</si>
  <si>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</si>
  <si>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</si>
  <si>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</si>
  <si>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</si>
  <si>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</si>
  <si>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</si>
  <si>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</si>
  <si>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</si>
  <si>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</si>
  <si>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</si>
  <si>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</si>
  <si>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</si>
  <si>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</si>
  <si>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</si>
  <si>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</si>
  <si>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</si>
  <si>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</si>
  <si>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</si>
  <si>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</si>
  <si>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</si>
  <si>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</si>
  <si>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</si>
  <si>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</si>
  <si>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</si>
  <si>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</si>
  <si>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</si>
  <si>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</si>
  <si>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</si>
  <si>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</si>
  <si>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</si>
  <si>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</si>
  <si>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</si>
  <si>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</si>
  <si>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</si>
  <si>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</si>
  <si>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</si>
  <si>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</si>
  <si>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</si>
  <si>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</si>
  <si>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</si>
  <si>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</si>
  <si>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</si>
  <si>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</si>
  <si>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</si>
  <si>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</si>
  <si>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</si>
  <si>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</si>
  <si>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</si>
  <si>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</si>
  <si>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</si>
  <si>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</si>
  <si>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</si>
  <si>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</si>
  <si>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</si>
  <si>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</si>
  <si>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</si>
  <si>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</si>
  <si>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</si>
  <si>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</si>
  <si>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</si>
  <si>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</si>
  <si>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</si>
  <si>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</si>
  <si>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</si>
  <si>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</si>
  <si>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</si>
  <si>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</si>
  <si>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</si>
  <si>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</si>
  <si>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</si>
  <si>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</si>
  <si>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</si>
  <si>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</si>
  <si>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</si>
  <si>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</si>
  <si>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</si>
  <si>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</si>
  <si>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</si>
  <si>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</si>
  <si>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</si>
  <si>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</si>
  <si>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</si>
  <si>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</si>
  <si>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</si>
  <si>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</si>
  <si>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</si>
  <si>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</si>
  <si>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</si>
  <si>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</si>
  <si>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</si>
  <si>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</si>
  <si>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</si>
  <si>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</si>
  <si>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</si>
  <si>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</si>
  <si>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</si>
  <si>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</si>
  <si>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</si>
  <si>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</si>
  <si>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</si>
  <si>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</si>
  <si>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</si>
  <si>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</si>
  <si>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</si>
  <si>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</si>
  <si>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</si>
  <si>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</si>
  <si>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</si>
  <si>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</si>
  <si>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</si>
  <si>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</si>
  <si>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</si>
  <si>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</si>
  <si>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</si>
  <si>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</si>
  <si>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</si>
  <si>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</si>
  <si>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</si>
  <si>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</si>
  <si>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</si>
  <si>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</si>
  <si>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</si>
  <si>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</si>
  <si>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</si>
  <si>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</si>
  <si>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</si>
  <si>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</si>
  <si>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</si>
  <si>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</si>
  <si>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</si>
  <si>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</si>
  <si>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</si>
  <si>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</si>
  <si>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</si>
  <si>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</si>
  <si>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</si>
  <si>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</si>
  <si>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</si>
  <si>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</si>
  <si>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</si>
  <si>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</si>
  <si>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</si>
  <si>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</si>
  <si>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</si>
  <si>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</si>
  <si>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</si>
  <si>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</si>
  <si>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</si>
  <si>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</si>
  <si>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</si>
  <si>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</si>
  <si>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</si>
  <si>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</si>
  <si>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</si>
  <si>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</si>
  <si>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</si>
  <si>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</si>
  <si>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</si>
  <si>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</si>
  <si>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</si>
  <si>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</si>
  <si>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</si>
  <si>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</si>
  <si>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</si>
  <si>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</si>
  <si>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</si>
  <si>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</si>
  <si>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</si>
  <si>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</si>
  <si>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</si>
  <si>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</si>
  <si>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</si>
  <si>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</si>
  <si>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</si>
  <si>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</si>
  <si>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</si>
  <si>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</si>
  <si>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</si>
  <si>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</si>
  <si>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</si>
  <si>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</si>
  <si>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</si>
  <si>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</si>
  <si>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</si>
  <si>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</si>
  <si>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</si>
  <si>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</si>
  <si>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</si>
  <si>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</si>
  <si>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</si>
  <si>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</si>
  <si>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</si>
  <si>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</si>
  <si>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</si>
  <si>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</si>
  <si>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</si>
  <si>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</si>
  <si>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</si>
  <si>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</si>
  <si>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</si>
  <si>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</si>
  <si>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</si>
  <si>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</si>
  <si>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</si>
  <si>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</si>
  <si>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</si>
  <si>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</si>
  <si>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</si>
  <si>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</si>
  <si>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</si>
  <si>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</si>
  <si>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</si>
  <si>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</si>
  <si>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</si>
  <si>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</si>
  <si>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</si>
  <si>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</si>
  <si>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</si>
  <si>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</si>
  <si>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</si>
  <si>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</si>
  <si>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</si>
  <si>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</si>
  <si>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</si>
  <si>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</si>
  <si>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</si>
  <si>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</si>
  <si>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</si>
  <si>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</si>
  <si>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</si>
  <si>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</si>
  <si>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</si>
  <si>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</si>
  <si>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</si>
  <si>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</si>
  <si>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</si>
  <si>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</si>
  <si>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</si>
  <si>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</si>
  <si>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</si>
  <si>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</si>
  <si>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</si>
  <si>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</si>
  <si>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</si>
  <si>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</si>
  <si>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</si>
  <si>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</si>
  <si>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</si>
  <si>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</si>
  <si>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</si>
  <si>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</si>
  <si>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</si>
  <si>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</si>
  <si>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</si>
  <si>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</si>
  <si>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</si>
  <si>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</si>
  <si>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</si>
  <si>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</si>
  <si>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</si>
  <si>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</si>
  <si>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</si>
  <si>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</si>
  <si>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</si>
  <si>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</si>
  <si>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</si>
  <si>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</si>
  <si>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</si>
  <si>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</si>
  <si>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</si>
  <si>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</si>
  <si>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</si>
  <si>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</si>
  <si>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</si>
  <si>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</si>
  <si>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</si>
  <si>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</si>
  <si>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</si>
  <si>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</si>
  <si>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</si>
  <si>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</si>
  <si>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</si>
  <si>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</si>
  <si>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</si>
  <si>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</si>
  <si>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</si>
  <si>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</si>
  <si>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</si>
  <si>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</si>
  <si>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</si>
  <si>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</si>
  <si>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</si>
  <si>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</si>
  <si>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</si>
  <si>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</si>
  <si>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</si>
  <si>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</si>
  <si>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</si>
  <si>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</si>
  <si>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</si>
  <si>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</si>
  <si>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</si>
  <si>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</si>
  <si>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</si>
  <si>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</si>
  <si>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</si>
  <si>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</si>
  <si>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</si>
  <si>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</si>
  <si>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</si>
  <si>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</si>
  <si>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</si>
  <si>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</si>
  <si>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</si>
  <si>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</si>
  <si>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</si>
  <si>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</si>
  <si>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</si>
  <si>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</si>
  <si>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</si>
  <si>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</si>
  <si>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</si>
  <si>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</si>
  <si>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</si>
  <si>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</si>
  <si>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</si>
  <si>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</si>
  <si>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</si>
  <si>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</si>
  <si>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</si>
  <si>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</si>
  <si>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</si>
  <si>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</si>
  <si>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</si>
  <si>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</si>
  <si>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</si>
  <si>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</si>
  <si>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</si>
  <si>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</si>
  <si>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</si>
  <si>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</si>
  <si>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</si>
  <si>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</si>
  <si>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</si>
  <si>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</si>
  <si>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</si>
  <si>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</si>
  <si>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</si>
  <si>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</si>
  <si>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</si>
  <si>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</si>
  <si>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</si>
  <si>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</si>
  <si>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</si>
  <si>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</si>
  <si>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</si>
  <si>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</si>
  <si>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</si>
  <si>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</si>
  <si>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</si>
  <si>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</si>
  <si>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</si>
  <si>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</si>
  <si>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</si>
  <si>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</si>
  <si>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</si>
  <si>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</si>
  <si>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</si>
  <si>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</si>
  <si>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</si>
  <si>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</si>
  <si>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</si>
  <si>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</si>
  <si>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</si>
  <si>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</si>
  <si>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</si>
  <si>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</si>
  <si>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</si>
  <si>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</si>
  <si>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</si>
  <si>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</si>
  <si>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</si>
  <si>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</si>
  <si>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</si>
  <si>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</si>
  <si>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</si>
  <si>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</si>
  <si>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</si>
  <si>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</si>
  <si>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</si>
  <si>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</si>
  <si>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</si>
  <si>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</si>
  <si>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</si>
  <si>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</si>
  <si>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</si>
  <si>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</si>
  <si>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</si>
  <si>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</si>
  <si>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</si>
  <si>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</si>
  <si>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</si>
  <si>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</si>
  <si>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</si>
  <si>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</si>
  <si>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</si>
  <si>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</si>
  <si>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</si>
  <si>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</si>
  <si>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</si>
  <si>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</si>
  <si>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</si>
  <si>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</si>
  <si>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</si>
  <si>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</si>
  <si>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</si>
  <si>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</si>
  <si>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</si>
  <si>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</si>
  <si>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</si>
  <si>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</si>
  <si>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</si>
  <si>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</si>
  <si>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</si>
  <si>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</si>
  <si>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</si>
  <si>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</si>
  <si>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</si>
  <si>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</si>
  <si>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</si>
  <si>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</si>
  <si>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</si>
  <si>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</si>
  <si>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</si>
  <si>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</si>
  <si>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</si>
  <si>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</si>
  <si>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</si>
  <si>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</si>
  <si>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</si>
  <si>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</si>
  <si>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</si>
  <si>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</si>
  <si>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</si>
  <si>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</si>
  <si>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</si>
  <si>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</si>
  <si>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</si>
  <si>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</si>
  <si>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</si>
  <si>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</si>
  <si>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</si>
  <si>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</si>
  <si>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</si>
  <si>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</si>
  <si>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</si>
  <si>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</si>
  <si>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</si>
  <si>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</si>
  <si>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</si>
  <si>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</si>
  <si>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</si>
  <si>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</si>
  <si>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</si>
  <si>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</si>
  <si>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</si>
  <si>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</si>
  <si>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</si>
  <si>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</si>
  <si>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</si>
  <si>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</si>
  <si>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</si>
  <si>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</si>
  <si>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</si>
  <si>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</si>
  <si>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</si>
  <si>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</si>
  <si>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</si>
  <si>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</si>
  <si>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</si>
  <si>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</si>
  <si>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</si>
  <si>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</si>
  <si>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</si>
  <si>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</si>
  <si>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</si>
  <si>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</si>
  <si>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</si>
  <si>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</si>
  <si>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</si>
  <si>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</si>
  <si>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</si>
  <si>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</si>
  <si>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</si>
  <si>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</si>
  <si>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</si>
  <si>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</si>
  <si>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</si>
  <si>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</si>
  <si>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</si>
  <si>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</si>
  <si>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</si>
  <si>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</si>
  <si>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</si>
  <si>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</si>
  <si>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</si>
  <si>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</si>
  <si>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</si>
  <si>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</si>
  <si>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</si>
  <si>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</si>
  <si>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</si>
  <si>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</si>
  <si>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</si>
  <si>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</si>
  <si>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</si>
  <si>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</si>
  <si>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</si>
  <si>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</si>
  <si>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</si>
  <si>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</si>
  <si>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</si>
  <si>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</si>
  <si>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</si>
  <si>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</si>
  <si>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</si>
  <si>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</si>
  <si>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</si>
  <si>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</si>
  <si>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</si>
  <si>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</si>
  <si>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</si>
  <si>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</si>
  <si>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</si>
  <si>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</si>
  <si>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</si>
  <si>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</si>
  <si>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</si>
  <si>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</si>
  <si>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</si>
  <si>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</si>
  <si>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</si>
  <si>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</si>
  <si>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</si>
  <si>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</si>
  <si>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</si>
  <si>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</si>
  <si>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</si>
  <si>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</si>
  <si>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</si>
  <si>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</si>
  <si>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</si>
  <si>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</si>
  <si>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</si>
  <si>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</si>
  <si>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</si>
  <si>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</si>
  <si>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</si>
  <si>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</si>
  <si>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</si>
  <si>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</si>
  <si>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</si>
  <si>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</si>
  <si>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</si>
  <si>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</si>
  <si>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</si>
  <si>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</si>
  <si>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</si>
  <si>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</si>
  <si>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</si>
  <si>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</si>
  <si>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</si>
  <si>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</si>
  <si>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</si>
  <si>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</si>
  <si>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</si>
  <si>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</si>
  <si>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</si>
  <si>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</si>
  <si>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</si>
  <si>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</si>
  <si>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</si>
  <si>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</si>
  <si>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</si>
  <si>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</si>
  <si>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</si>
  <si>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</si>
  <si>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</si>
  <si>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</si>
  <si>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</si>
  <si>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</si>
  <si>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</si>
  <si>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</si>
  <si>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</si>
  <si>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</si>
  <si>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</si>
  <si>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</si>
  <si>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</si>
  <si>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</si>
  <si>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</si>
  <si>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</si>
  <si>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</si>
  <si>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</si>
  <si>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</si>
  <si>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</si>
  <si>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</si>
  <si>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</si>
  <si>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</si>
  <si>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</si>
  <si>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</si>
  <si>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</si>
  <si>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</si>
  <si>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</si>
  <si>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</si>
  <si>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</si>
  <si>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</si>
  <si>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</si>
  <si>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</si>
  <si>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</si>
  <si>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</si>
  <si>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</si>
  <si>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</si>
  <si>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</si>
  <si>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</si>
  <si>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</si>
  <si>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</si>
  <si>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</si>
  <si>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</si>
  <si>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</si>
  <si>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</si>
  <si>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</si>
  <si>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</si>
  <si>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</si>
  <si>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</si>
  <si>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</si>
  <si>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</si>
  <si>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</si>
  <si>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</si>
  <si>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</si>
  <si>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</si>
  <si>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</si>
  <si>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</si>
  <si>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</si>
  <si>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</si>
  <si>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</si>
  <si>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</si>
  <si>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</si>
  <si>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</si>
  <si>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</si>
  <si>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</si>
  <si>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</si>
  <si>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</si>
  <si>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</si>
  <si>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</si>
  <si>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</si>
  <si>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</si>
  <si>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</si>
  <si>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</si>
  <si>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</si>
  <si>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</si>
  <si>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</si>
  <si>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</si>
  <si>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</si>
  <si>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</si>
  <si>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</si>
  <si>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</si>
  <si>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</si>
  <si>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</si>
  <si>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</si>
  <si>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</si>
  <si>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</si>
  <si>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</si>
  <si>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</si>
  <si>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</si>
  <si>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</si>
  <si>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</si>
  <si>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</si>
  <si>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</si>
  <si>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</si>
  <si>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</si>
  <si>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</si>
  <si>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</si>
  <si>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</si>
  <si>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</si>
  <si>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</si>
  <si>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</si>
  <si>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</si>
  <si>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</si>
  <si>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</si>
  <si>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</si>
  <si>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</si>
  <si>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</si>
  <si>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</si>
  <si>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</si>
  <si>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</si>
  <si>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</si>
  <si>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</si>
  <si>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</si>
  <si>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</si>
  <si>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</si>
  <si>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</si>
  <si>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</si>
  <si>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</si>
  <si>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</si>
  <si>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</si>
  <si>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</si>
  <si>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</si>
  <si>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</si>
  <si>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</si>
  <si>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</si>
  <si>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</si>
  <si>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</si>
  <si>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</si>
  <si>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</si>
  <si>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</si>
  <si>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</si>
  <si>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</si>
  <si>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</si>
  <si>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</si>
  <si>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</si>
  <si>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</si>
  <si>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</si>
  <si>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</si>
  <si>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</si>
  <si>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</si>
  <si>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</si>
  <si>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</si>
  <si>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</si>
  <si>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</si>
  <si>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</si>
  <si>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</si>
  <si>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</si>
  <si>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</si>
  <si>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</si>
  <si>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</si>
  <si>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</si>
  <si>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</si>
  <si>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</si>
  <si>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</si>
  <si>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</si>
  <si>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</si>
  <si>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</si>
  <si>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</si>
  <si>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</si>
  <si>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</si>
  <si>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</si>
  <si>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</si>
  <si>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</si>
  <si>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</si>
  <si>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</si>
  <si>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</si>
  <si>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</si>
  <si>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</si>
  <si>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</si>
  <si>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</si>
  <si>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</si>
  <si>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</si>
  <si>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</si>
  <si>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</si>
  <si>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</si>
  <si>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</si>
  <si>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</si>
  <si>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</si>
  <si>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</si>
  <si>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</si>
  <si>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</si>
  <si>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</si>
  <si>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</si>
  <si>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</si>
  <si>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</si>
  <si>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</si>
  <si>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</si>
  <si>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</si>
  <si>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</si>
  <si>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</si>
  <si>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</si>
  <si>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</si>
  <si>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</si>
  <si>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</si>
  <si>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</si>
  <si>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</si>
  <si>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</si>
  <si>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</si>
  <si>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</si>
  <si>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</si>
  <si>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</si>
  <si>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</si>
  <si>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</si>
  <si>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</si>
  <si>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</si>
  <si>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</si>
  <si>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</si>
  <si>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</si>
  <si>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</si>
  <si>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</si>
  <si>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</si>
  <si>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</si>
  <si>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</si>
  <si>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</si>
  <si>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</si>
  <si>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</si>
  <si>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</si>
  <si>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</si>
  <si>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</si>
  <si>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</si>
  <si>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</si>
  <si>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</si>
  <si>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</si>
  <si>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</si>
  <si>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</si>
  <si>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</si>
  <si>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</si>
  <si>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</si>
  <si>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</si>
  <si>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</si>
  <si>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</si>
  <si>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</si>
  <si>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</si>
  <si>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</si>
  <si>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</si>
  <si>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</si>
  <si>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</si>
  <si>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</si>
  <si>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</si>
  <si>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</si>
  <si>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</si>
  <si>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</si>
  <si>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</si>
  <si>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</si>
  <si>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</si>
  <si>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</si>
  <si>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</si>
  <si>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</si>
  <si>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</si>
  <si>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</si>
  <si>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</si>
  <si>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</si>
  <si>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</si>
  <si>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</si>
  <si>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</si>
  <si>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</si>
  <si>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</si>
  <si>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</si>
  <si>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</si>
  <si>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</si>
  <si>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</si>
  <si>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</si>
  <si>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</si>
  <si>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</si>
  <si>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</si>
  <si>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</si>
  <si>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</si>
  <si>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</si>
  <si>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</si>
  <si>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</si>
  <si>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</si>
  <si>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</si>
  <si>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</si>
  <si>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</si>
  <si>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</si>
  <si>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</si>
  <si>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</si>
  <si>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</si>
  <si>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</si>
  <si>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</si>
  <si>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</si>
  <si>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</si>
  <si>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</si>
  <si>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</si>
  <si>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</si>
  <si>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</si>
  <si>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</si>
  <si>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</si>
  <si>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</si>
  <si>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</si>
  <si>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</si>
  <si>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</si>
  <si>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</si>
  <si>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</si>
  <si>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</si>
  <si>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</si>
  <si>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</si>
  <si>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</si>
  <si>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</si>
  <si>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</si>
  <si>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</si>
  <si>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</si>
  <si>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</si>
  <si>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</si>
  <si>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</si>
  <si>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</si>
  <si>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</si>
  <si>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</si>
  <si>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</si>
  <si>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</si>
  <si>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</si>
  <si>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</si>
  <si>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</si>
  <si>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</si>
  <si>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</si>
  <si>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</si>
  <si>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</si>
  <si>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</si>
  <si>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</si>
  <si>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</si>
  <si>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</si>
  <si>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</si>
  <si>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</si>
  <si>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</si>
  <si>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</si>
  <si>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</si>
  <si>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</si>
  <si>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</si>
  <si>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</si>
  <si>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</si>
  <si>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</si>
  <si>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</si>
  <si>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</si>
  <si>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</si>
  <si>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</si>
  <si>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</si>
  <si>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</si>
  <si>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</si>
  <si>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</si>
  <si>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</si>
  <si>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</si>
  <si>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</si>
  <si>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</si>
  <si>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</si>
  <si>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</si>
  <si>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</si>
  <si>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</si>
  <si>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</si>
  <si>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</si>
  <si>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</si>
  <si>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</si>
  <si>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</si>
  <si>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</si>
  <si>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</si>
  <si>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</si>
  <si>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</si>
  <si>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</si>
  <si>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</si>
  <si>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</si>
  <si>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</si>
  <si>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</si>
  <si>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</si>
  <si>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</si>
  <si>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</si>
  <si>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</si>
  <si>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</si>
  <si>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</si>
  <si>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</si>
  <si>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</si>
  <si>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</si>
  <si>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</si>
  <si>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</si>
  <si>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</si>
  <si>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</si>
  <si>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</si>
  <si>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</si>
  <si>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</si>
  <si>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</si>
  <si>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</si>
  <si>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</si>
  <si>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</si>
  <si>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</si>
  <si>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</si>
  <si>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</si>
  <si>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</si>
  <si>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</si>
  <si>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</si>
  <si>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</si>
  <si>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</si>
  <si>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</si>
  <si>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</si>
  <si>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</si>
  <si>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</si>
  <si>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</si>
  <si>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</si>
  <si>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</si>
  <si>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</si>
  <si>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</si>
  <si>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</si>
  <si>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</si>
  <si>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</si>
  <si>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</si>
  <si>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</si>
  <si>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</si>
  <si>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</si>
  <si>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</si>
  <si>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</si>
  <si>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</si>
  <si>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</si>
  <si>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</si>
  <si>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</si>
  <si>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</si>
  <si>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</si>
  <si>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</si>
  <si>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</si>
  <si>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</si>
  <si>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</si>
  <si>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</si>
  <si>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</si>
  <si>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</si>
  <si>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</si>
  <si>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</si>
  <si>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</si>
  <si>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</si>
  <si>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</si>
  <si>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</si>
  <si>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</si>
  <si>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</si>
  <si>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</si>
  <si>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</si>
  <si>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</si>
  <si>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</si>
  <si>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</si>
  <si>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</si>
  <si>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</si>
  <si>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</si>
  <si>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</si>
  <si>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</si>
  <si>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</si>
  <si>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</si>
  <si>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</si>
  <si>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</si>
  <si>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</si>
  <si>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</si>
  <si>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</si>
  <si>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</si>
  <si>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</si>
  <si>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</si>
  <si>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</si>
  <si>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</si>
  <si>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</si>
  <si>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</si>
  <si>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</si>
  <si>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</si>
  <si>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</si>
  <si>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</si>
  <si>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</si>
  <si>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</si>
  <si>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</si>
  <si>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</si>
  <si>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</si>
  <si>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</si>
  <si>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</si>
  <si>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</si>
  <si>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</si>
  <si>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</si>
  <si>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</si>
  <si>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</si>
  <si>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</si>
  <si>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</si>
  <si>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</si>
  <si>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</si>
  <si>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</si>
  <si>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</si>
  <si>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</si>
  <si>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</si>
  <si>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</si>
  <si>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</si>
  <si>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</si>
  <si>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</si>
  <si>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</si>
  <si>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</si>
  <si>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</si>
  <si>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</si>
  <si>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</si>
  <si>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</si>
  <si>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</si>
  <si>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</si>
  <si>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</si>
  <si>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</si>
  <si>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</si>
  <si>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</si>
  <si>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</si>
  <si>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</si>
  <si>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</si>
  <si>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</si>
  <si>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</si>
  <si>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</si>
  <si>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</si>
  <si>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</si>
  <si>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</si>
  <si>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</si>
  <si>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</si>
  <si>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</si>
  <si>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</si>
  <si>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</si>
  <si>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</si>
  <si>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</si>
  <si>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</si>
  <si>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</si>
  <si>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</si>
  <si>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</si>
  <si>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</si>
  <si>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</si>
  <si>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</si>
  <si>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</si>
  <si>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</si>
  <si>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</si>
  <si>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</si>
  <si>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</si>
  <si>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</si>
  <si>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</si>
  <si>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</si>
  <si>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</si>
  <si>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</si>
  <si>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</si>
  <si>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</si>
  <si>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</si>
  <si>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</si>
  <si>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</si>
  <si>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</si>
  <si>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</si>
  <si>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</si>
  <si>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</si>
  <si>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</si>
  <si>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</si>
  <si>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</si>
  <si>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</si>
  <si>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</si>
  <si>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</si>
  <si>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</si>
  <si>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</si>
  <si>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</si>
  <si>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</si>
  <si>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</si>
  <si>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</si>
  <si>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</si>
  <si>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</si>
  <si>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</si>
  <si>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</si>
  <si>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</si>
  <si>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</si>
  <si>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</si>
  <si>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</si>
  <si>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</si>
  <si>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</si>
  <si>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</si>
  <si>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</si>
  <si>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</si>
  <si>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</si>
  <si>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</si>
  <si>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</si>
  <si>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</si>
  <si>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</si>
  <si>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</si>
  <si>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</si>
  <si>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</si>
  <si>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</si>
  <si>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</si>
  <si>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</si>
  <si>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</si>
  <si>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</si>
  <si>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</si>
  <si>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</si>
  <si>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</si>
  <si>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</si>
  <si>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</si>
  <si>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</si>
  <si>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</si>
  <si>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</si>
  <si>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</si>
  <si>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</si>
  <si>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</si>
  <si>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</si>
  <si>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</si>
  <si>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</si>
  <si>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</si>
  <si>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</si>
  <si>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</si>
  <si>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</si>
  <si>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</si>
  <si>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</si>
  <si>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</si>
  <si>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</si>
  <si>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</si>
  <si>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</si>
  <si>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</si>
  <si>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</si>
  <si>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</si>
  <si>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</si>
  <si>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</si>
  <si>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</si>
  <si>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</si>
  <si>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</si>
  <si>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</si>
  <si>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</si>
  <si>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</si>
  <si>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</si>
  <si>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</si>
  <si>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</si>
  <si>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</si>
  <si>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</si>
  <si>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</si>
  <si>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</si>
  <si>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</si>
  <si>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</si>
  <si>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</si>
  <si>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</si>
  <si>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</si>
  <si>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</si>
  <si>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</si>
  <si>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</si>
  <si>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</si>
  <si>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</si>
  <si>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</si>
  <si>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</si>
  <si>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</si>
  <si>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</si>
  <si>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</si>
  <si>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</si>
  <si>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</si>
  <si>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</si>
  <si>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</si>
  <si>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</si>
  <si>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</si>
  <si>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</si>
  <si>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</si>
  <si>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</si>
  <si>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</si>
  <si>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</si>
  <si>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</si>
  <si>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</si>
  <si>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</si>
  <si>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</si>
  <si>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</si>
  <si>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</si>
  <si>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</si>
  <si>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</si>
  <si>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</si>
  <si>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</si>
  <si>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</si>
  <si>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</si>
  <si>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</si>
  <si>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</si>
  <si>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</si>
  <si>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</si>
  <si>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</si>
  <si>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</si>
  <si>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</si>
  <si>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</si>
  <si>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</si>
  <si>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</si>
  <si>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</si>
  <si>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</si>
  <si>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</si>
  <si>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</si>
  <si>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</si>
  <si>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</si>
  <si>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</si>
  <si>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</si>
  <si>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</si>
  <si>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</si>
  <si>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</si>
  <si>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</si>
  <si>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</si>
  <si>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</si>
  <si>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</si>
  <si>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</si>
  <si>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</si>
  <si>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</si>
  <si>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</si>
  <si>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</si>
  <si>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</si>
  <si>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</si>
  <si>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</si>
  <si>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</si>
  <si>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</si>
  <si>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</si>
  <si>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</si>
  <si>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</si>
  <si>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</si>
  <si>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</si>
  <si>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</si>
  <si>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</si>
  <si>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</si>
  <si>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</si>
  <si>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</si>
  <si>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</si>
  <si>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</si>
  <si>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</si>
  <si>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</si>
  <si>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</si>
  <si>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</si>
  <si>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</si>
  <si>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</si>
  <si>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</si>
  <si>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</si>
  <si>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</si>
  <si>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</si>
  <si>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</si>
  <si>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</si>
  <si>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</si>
  <si>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</si>
  <si>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</si>
  <si>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</si>
  <si>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</si>
  <si>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</si>
  <si>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</si>
  <si>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</si>
  <si>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</si>
  <si>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</si>
  <si>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</si>
  <si>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</si>
  <si>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</si>
  <si>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</si>
  <si>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</si>
  <si>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</si>
  <si>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</si>
  <si>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</si>
  <si>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</si>
  <si>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</si>
  <si>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</si>
  <si>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</si>
  <si>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</si>
  <si>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</si>
  <si>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</si>
  <si>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</si>
  <si>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</si>
  <si>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</si>
  <si>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</si>
  <si>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</si>
  <si>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</si>
  <si>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</si>
  <si>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</si>
  <si>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</si>
  <si>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</si>
  <si>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</si>
  <si>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</si>
  <si>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</si>
  <si>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</si>
  <si>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</si>
  <si>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</si>
  <si>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</si>
  <si>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</si>
  <si>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</si>
  <si>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</si>
  <si>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</si>
  <si>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</si>
  <si>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</si>
  <si>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</si>
  <si>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</si>
  <si>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</si>
  <si>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</si>
  <si>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</si>
  <si>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</si>
  <si>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</si>
  <si>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</si>
  <si>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</si>
  <si>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</si>
  <si>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</si>
  <si>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</si>
  <si>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</si>
  <si>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</si>
  <si>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</si>
  <si>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</si>
  <si>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</si>
  <si>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</si>
  <si>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</si>
  <si>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</si>
  <si>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</si>
  <si>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</si>
  <si>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</si>
  <si>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</si>
  <si>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</si>
  <si>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</si>
  <si>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</si>
  <si>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</si>
  <si>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</si>
  <si>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</si>
  <si>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</si>
  <si>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</si>
  <si>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</si>
  <si>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</si>
  <si>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</si>
  <si>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</si>
  <si>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</si>
  <si>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</si>
  <si>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</si>
  <si>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</si>
  <si>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</si>
  <si>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</si>
  <si>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</si>
  <si>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</si>
  <si>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</si>
  <si>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</si>
  <si>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</si>
  <si>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</si>
  <si>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</si>
  <si>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</si>
  <si>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</si>
  <si>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</si>
  <si>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</si>
  <si>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</si>
  <si>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</si>
  <si>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</si>
  <si>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</si>
  <si>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</si>
  <si>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</si>
  <si>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</si>
  <si>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</si>
  <si>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</si>
  <si>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</si>
  <si>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</si>
  <si>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</si>
  <si>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</si>
  <si>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</si>
  <si>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</si>
  <si>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</si>
  <si>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</si>
  <si>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</si>
  <si>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</si>
  <si>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</si>
  <si>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</si>
  <si>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</si>
  <si>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</si>
  <si>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</si>
  <si>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</si>
  <si>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</si>
  <si>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</si>
  <si>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</si>
  <si>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</si>
  <si>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</si>
  <si>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</si>
  <si>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</si>
  <si>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</si>
  <si>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</si>
  <si>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</si>
  <si>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</si>
  <si>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</si>
  <si>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</si>
  <si>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</si>
  <si>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</si>
  <si>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</si>
  <si>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</si>
  <si>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</si>
  <si>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</si>
  <si>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</si>
  <si>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</si>
  <si>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</si>
  <si>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</si>
  <si>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</si>
  <si>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</si>
  <si>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</si>
  <si>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</si>
  <si>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</si>
  <si>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</si>
  <si>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</si>
  <si>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</si>
  <si>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</si>
  <si>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</si>
  <si>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</si>
  <si>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</si>
  <si>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</si>
  <si>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</si>
  <si>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</si>
  <si>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</si>
  <si>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</si>
  <si>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</si>
  <si>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</si>
  <si>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</si>
  <si>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</si>
  <si>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</si>
  <si>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</si>
  <si>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</si>
  <si>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</si>
  <si>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</si>
  <si>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</si>
  <si>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</si>
  <si>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</si>
  <si>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</si>
  <si>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</si>
  <si>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</si>
  <si>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</si>
  <si>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</si>
  <si>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</si>
  <si>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</si>
  <si>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</si>
  <si>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</si>
  <si>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</si>
  <si>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</si>
  <si>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</si>
  <si>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</si>
  <si>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</si>
  <si>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</si>
  <si>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</si>
  <si>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</si>
  <si>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</si>
  <si>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</si>
  <si>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</si>
  <si>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</si>
  <si>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</si>
  <si>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</si>
  <si>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</si>
  <si>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</si>
  <si>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</si>
  <si>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</si>
  <si>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</si>
  <si>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</si>
  <si>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</si>
  <si>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</si>
  <si>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</si>
  <si>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</si>
  <si>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</si>
  <si>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</si>
  <si>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</si>
  <si>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</si>
  <si>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</si>
  <si>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</si>
  <si>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</si>
  <si>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</si>
  <si>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</si>
  <si>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</si>
  <si>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</si>
  <si>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</si>
  <si>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</si>
  <si>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</si>
  <si>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</si>
  <si>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</si>
  <si>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</si>
  <si>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</si>
  <si>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</si>
  <si>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</si>
  <si>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</si>
  <si>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</si>
  <si>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</si>
  <si>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</si>
  <si>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</si>
  <si>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</si>
  <si>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</si>
  <si>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</si>
  <si>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</si>
  <si>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</si>
  <si>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</si>
  <si>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</si>
  <si>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</si>
  <si>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</si>
  <si>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</si>
  <si>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</si>
  <si>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</si>
  <si>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</si>
  <si>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</si>
  <si>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</si>
  <si>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</si>
  <si>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</si>
  <si>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</si>
  <si>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</si>
  <si>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</si>
  <si>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</si>
  <si>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</si>
  <si>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</si>
  <si>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</si>
  <si>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</si>
  <si>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</si>
  <si>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</si>
  <si>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</si>
  <si>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</si>
  <si>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</si>
  <si>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</si>
  <si>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</si>
  <si>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</si>
  <si>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</si>
  <si>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</si>
  <si>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</si>
  <si>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</si>
  <si>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</si>
  <si>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</si>
  <si>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</si>
  <si>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</si>
  <si>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</si>
  <si>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</si>
  <si>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</si>
  <si>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</si>
  <si>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</si>
  <si>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</si>
  <si>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</si>
  <si>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</si>
  <si>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</si>
  <si>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</si>
  <si>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</si>
  <si>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</si>
  <si>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</si>
  <si>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</si>
  <si>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</si>
  <si>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</si>
  <si>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</si>
  <si>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</si>
  <si>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</si>
  <si>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</si>
  <si>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</si>
  <si>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</si>
  <si>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</si>
  <si>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</si>
  <si>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</si>
  <si>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</si>
  <si>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</si>
  <si>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</si>
  <si>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</si>
  <si>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</si>
  <si>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</si>
  <si>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</si>
  <si>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</si>
  <si>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</si>
  <si>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</si>
  <si>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</si>
  <si>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</si>
  <si>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</si>
  <si>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</si>
  <si>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</si>
  <si>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</si>
  <si>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</si>
  <si>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</si>
  <si>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</si>
  <si>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</si>
  <si>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</si>
  <si>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</si>
  <si>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</si>
  <si>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</si>
  <si>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</si>
  <si>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</si>
  <si>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</si>
  <si>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</si>
  <si>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</si>
  <si>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</si>
  <si>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</si>
  <si>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</si>
  <si>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</si>
  <si>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</si>
  <si>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</si>
  <si>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</si>
  <si>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</si>
  <si>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</si>
  <si>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</si>
  <si>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</si>
  <si>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</si>
  <si>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</si>
  <si>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</si>
  <si>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</si>
  <si>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</si>
  <si>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</si>
  <si>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</si>
  <si>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</si>
  <si>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</si>
  <si>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</si>
  <si>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</si>
  <si>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</si>
  <si>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</si>
  <si>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</si>
  <si>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</si>
  <si>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</si>
  <si>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</si>
  <si>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</si>
  <si>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</si>
  <si>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</si>
  <si>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</si>
  <si>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</si>
  <si>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</si>
  <si>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</si>
  <si>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</si>
  <si>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</si>
  <si>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</si>
  <si>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</si>
  <si>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</si>
  <si>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</si>
  <si>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</si>
  <si>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</si>
  <si>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</si>
  <si>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</si>
  <si>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</si>
  <si>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</si>
  <si>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</si>
  <si>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</si>
  <si>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</si>
  <si>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</si>
  <si>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</si>
  <si>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</si>
  <si>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</si>
  <si>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</si>
  <si>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</si>
  <si>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</si>
  <si>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</si>
  <si>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</si>
  <si>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</si>
  <si>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</si>
  <si>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</si>
  <si>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</si>
  <si>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</si>
  <si>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</si>
  <si>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</si>
  <si>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</si>
  <si>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</si>
  <si>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</si>
  <si>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</si>
  <si>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</si>
  <si>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</si>
  <si>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</si>
  <si>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</si>
  <si>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</si>
  <si>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</si>
  <si>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</si>
  <si>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</si>
  <si>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</si>
  <si>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</si>
  <si>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</si>
  <si>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</si>
  <si>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</si>
  <si>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</si>
  <si>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</si>
  <si>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</si>
  <si>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</si>
  <si>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</si>
  <si>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</si>
  <si>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</si>
  <si>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</si>
  <si>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</si>
  <si>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</si>
  <si>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</si>
  <si>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</si>
  <si>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</si>
  <si>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</si>
  <si>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</si>
  <si>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</si>
  <si>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</si>
  <si>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</si>
  <si>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</si>
  <si>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</si>
  <si>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</si>
  <si>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</si>
  <si>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</si>
  <si>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</si>
  <si>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</si>
  <si>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</si>
  <si>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</si>
  <si>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</si>
  <si>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</si>
  <si>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</si>
  <si>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</si>
  <si>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</si>
  <si>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</si>
  <si>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</si>
  <si>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</si>
  <si>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</si>
  <si>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</si>
  <si>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</si>
  <si>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</si>
  <si>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</si>
  <si>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</si>
  <si>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</si>
  <si>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</si>
  <si>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</si>
  <si>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</si>
  <si>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</si>
  <si>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</si>
  <si>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</si>
  <si>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</si>
  <si>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</si>
  <si>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</si>
  <si>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</si>
  <si>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</si>
  <si>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</si>
  <si>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</si>
  <si>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</si>
  <si>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</si>
  <si>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</si>
  <si>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</si>
  <si>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</si>
  <si>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</si>
  <si>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</si>
  <si>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</si>
  <si>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</si>
  <si>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</si>
  <si>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</si>
  <si>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</si>
  <si>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</si>
  <si>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</si>
  <si>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</si>
  <si>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</si>
  <si>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</si>
  <si>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</si>
  <si>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</si>
  <si>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</si>
  <si>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</si>
  <si>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</si>
  <si>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</si>
  <si>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</si>
  <si>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</si>
  <si>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</si>
  <si>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</si>
  <si>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</si>
  <si>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</si>
  <si>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</si>
  <si>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</si>
  <si>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</si>
  <si>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</si>
  <si>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</si>
  <si>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</si>
  <si>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</si>
  <si>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</si>
  <si>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</si>
  <si>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</si>
  <si>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</si>
  <si>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</si>
  <si>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</si>
  <si>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</si>
  <si>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</si>
  <si>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</si>
  <si>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</si>
  <si>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</si>
  <si>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</si>
  <si>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</si>
  <si>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</si>
  <si>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</si>
  <si>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</si>
  <si>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</si>
  <si>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</si>
  <si>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</si>
  <si>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</si>
  <si>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</si>
  <si>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</si>
  <si>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</si>
  <si>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</si>
  <si>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</si>
  <si>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</si>
  <si>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</si>
  <si>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</si>
  <si>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</si>
  <si>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</si>
  <si>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</si>
  <si>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</si>
  <si>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</si>
  <si>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</si>
  <si>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</si>
  <si>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</si>
  <si>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</si>
  <si>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</si>
  <si>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</si>
  <si>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</si>
  <si>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</si>
  <si>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</si>
  <si>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</si>
  <si>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</si>
  <si>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</si>
  <si>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</si>
  <si>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</si>
  <si>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</si>
  <si>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</si>
  <si>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</si>
  <si>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</si>
  <si>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</si>
  <si>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</si>
  <si>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</si>
  <si>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</si>
  <si>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</si>
  <si>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</si>
  <si>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</si>
  <si>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</si>
  <si>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</si>
  <si>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</si>
  <si>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</si>
  <si>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</si>
  <si>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</si>
  <si>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</si>
  <si>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</si>
  <si>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</si>
  <si>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</si>
  <si>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</si>
  <si>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</si>
  <si>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</si>
  <si>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</si>
  <si>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</si>
  <si>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</si>
  <si>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</si>
  <si>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</si>
  <si>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</si>
  <si>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</si>
  <si>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</si>
  <si>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</si>
  <si>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</si>
  <si>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</si>
  <si>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</si>
  <si>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</si>
  <si>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</si>
  <si>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</si>
  <si>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</si>
  <si>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</si>
  <si>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</si>
  <si>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</si>
  <si>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</si>
  <si>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</si>
  <si>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</si>
  <si>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</si>
  <si>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</si>
  <si>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</si>
  <si>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</si>
  <si>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</si>
  <si>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</si>
  <si>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</si>
  <si>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</si>
  <si>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</si>
  <si>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</si>
  <si>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</si>
  <si>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</si>
  <si>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</si>
  <si>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</si>
  <si>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</si>
  <si>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</si>
  <si>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</si>
  <si>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</si>
  <si>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</si>
  <si>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</si>
  <si>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</si>
  <si>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</si>
  <si>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</si>
  <si>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</si>
  <si>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</si>
  <si>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</si>
  <si>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</si>
  <si>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</si>
  <si>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</si>
  <si>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</si>
  <si>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</si>
  <si>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</si>
  <si>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</si>
  <si>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</si>
  <si>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</si>
  <si>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</si>
  <si>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</si>
  <si>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</si>
  <si>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</si>
  <si>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</si>
  <si>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</si>
  <si>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</si>
  <si>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</si>
  <si>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</si>
  <si>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</si>
  <si>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</si>
  <si>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</si>
  <si>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</si>
  <si>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</si>
  <si>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</si>
  <si>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</si>
  <si>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</si>
  <si>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</si>
  <si>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</si>
  <si>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</si>
  <si>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</si>
  <si>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</si>
  <si>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</si>
  <si>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</si>
  <si>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</si>
  <si>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</si>
  <si>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</si>
  <si>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</si>
  <si>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</si>
  <si>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</si>
  <si>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</si>
  <si>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</si>
  <si>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</si>
  <si>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</si>
  <si>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</si>
  <si>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</si>
  <si>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</si>
  <si>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</si>
  <si>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</si>
  <si>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</si>
  <si>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</si>
  <si>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</si>
  <si>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</si>
  <si>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</si>
  <si>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</si>
  <si>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</si>
  <si>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</si>
  <si>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</si>
  <si>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</si>
  <si>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</si>
  <si>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</si>
  <si>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</si>
  <si>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</si>
  <si>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</si>
  <si>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</si>
  <si>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</si>
  <si>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</si>
  <si>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</si>
  <si>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</si>
  <si>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</si>
  <si>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</si>
  <si>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</si>
  <si>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</si>
  <si>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</si>
  <si>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</si>
  <si>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</si>
  <si>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</si>
  <si>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</si>
  <si>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</si>
  <si>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</si>
  <si>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</si>
  <si>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</si>
  <si>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</si>
  <si>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</si>
  <si>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</si>
  <si>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</si>
  <si>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</si>
  <si>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</si>
  <si>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</si>
  <si>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</si>
  <si>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</si>
  <si>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</si>
  <si>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</si>
  <si>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</si>
  <si>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</si>
  <si>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</si>
  <si>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</si>
  <si>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</si>
  <si>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</si>
  <si>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</si>
  <si>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</si>
  <si>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</si>
  <si>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</si>
  <si>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</si>
  <si>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</si>
  <si>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</si>
  <si>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</si>
  <si>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</si>
  <si>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</si>
  <si>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</si>
  <si>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</si>
  <si>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</si>
  <si>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</si>
  <si>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</si>
  <si>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</si>
  <si>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</si>
  <si>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</si>
  <si>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</si>
  <si>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</si>
  <si>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</si>
  <si>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</si>
  <si>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</si>
  <si>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</si>
  <si>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</si>
  <si>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</si>
  <si>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</si>
  <si>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</si>
  <si>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</si>
  <si>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</si>
  <si>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</si>
  <si>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</si>
  <si>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</si>
  <si>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</si>
  <si>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</si>
  <si>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</si>
  <si>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</si>
  <si>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</si>
  <si>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</si>
  <si>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</si>
  <si>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</si>
  <si>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</si>
  <si>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</si>
  <si>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</si>
  <si>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</si>
  <si>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</si>
  <si>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</si>
  <si>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</si>
  <si>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</si>
  <si>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</si>
  <si>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</si>
  <si>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</si>
  <si>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</si>
  <si>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</si>
  <si>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</si>
  <si>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</si>
  <si>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</si>
  <si>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</si>
  <si>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</si>
  <si>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</si>
  <si>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</si>
  <si>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</si>
  <si>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</si>
  <si>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</si>
  <si>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</si>
  <si>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</si>
  <si>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</si>
  <si>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</si>
  <si>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</si>
  <si>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</si>
  <si>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</si>
  <si>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</si>
  <si>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</si>
  <si>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</si>
  <si>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</si>
  <si>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</si>
  <si>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</si>
  <si>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</si>
  <si>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</si>
  <si>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</si>
  <si>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</si>
  <si>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</si>
  <si>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</si>
  <si>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</si>
  <si>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</si>
  <si>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</si>
  <si>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</si>
  <si>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</si>
  <si>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</si>
  <si>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</si>
  <si>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</si>
  <si>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</si>
  <si>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</si>
  <si>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</si>
  <si>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</si>
  <si>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</si>
  <si>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</si>
  <si>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</si>
  <si>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</si>
  <si>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</si>
  <si>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</si>
  <si>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</si>
  <si>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</si>
  <si>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</si>
  <si>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</si>
  <si>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</si>
  <si>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</si>
  <si>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</si>
  <si>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</si>
  <si>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</si>
  <si>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</si>
  <si>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</si>
  <si>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</si>
  <si>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</si>
  <si>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</si>
  <si>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</si>
  <si>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</si>
  <si>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</si>
  <si>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</si>
  <si>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</si>
  <si>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</si>
  <si>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</si>
  <si>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</si>
  <si>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</si>
  <si>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</si>
  <si>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</si>
  <si>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</si>
  <si>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</si>
  <si>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</si>
  <si>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</si>
  <si>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</si>
  <si>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</si>
  <si>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</si>
  <si>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</si>
  <si>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</si>
  <si>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</si>
  <si>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</si>
  <si>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</si>
  <si>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</si>
  <si>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</si>
  <si>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</si>
  <si>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</si>
  <si>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</si>
  <si>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</si>
  <si>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</si>
  <si>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</si>
  <si>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</si>
  <si>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</si>
  <si>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</si>
  <si>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</si>
  <si>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</si>
  <si>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</si>
  <si>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</si>
  <si>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</si>
  <si>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</si>
  <si>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</si>
  <si>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</si>
  <si>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</si>
  <si>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</si>
  <si>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</si>
  <si>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</si>
  <si>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</si>
  <si>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</si>
  <si>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</si>
  <si>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</si>
  <si>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</si>
  <si>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</si>
  <si>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</si>
  <si>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</si>
  <si>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</si>
  <si>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</si>
  <si>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</si>
  <si>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</si>
  <si>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</si>
  <si>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</si>
  <si>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</si>
  <si>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</si>
  <si>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</si>
  <si>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</si>
  <si>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</si>
  <si>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</si>
  <si>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</si>
  <si>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</si>
  <si>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</si>
  <si>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</si>
  <si>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</si>
  <si>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</si>
  <si>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</si>
  <si>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</si>
  <si>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</si>
  <si>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</si>
  <si>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</si>
  <si>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</si>
  <si>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</si>
  <si>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</si>
  <si>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</si>
  <si>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</si>
  <si>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</si>
  <si>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</si>
  <si>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</si>
  <si>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</si>
  <si>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</si>
  <si>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</si>
  <si>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</si>
  <si>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</si>
  <si>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</si>
  <si>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</si>
  <si>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</si>
  <si>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</si>
  <si>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</si>
  <si>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</si>
  <si>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</si>
  <si>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</si>
  <si>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</si>
  <si>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</si>
  <si>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</si>
  <si>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</si>
  <si>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</si>
  <si>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</si>
  <si>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</si>
  <si>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</si>
  <si>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</si>
  <si>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</si>
  <si>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</si>
  <si>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</si>
  <si>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</si>
  <si>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</si>
  <si>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</si>
  <si>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</si>
  <si>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</si>
  <si>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</si>
  <si>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</si>
  <si>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</si>
  <si>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</si>
  <si>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</si>
  <si>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</si>
  <si>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</si>
  <si>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</si>
  <si>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</si>
  <si>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</si>
  <si>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</si>
  <si>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</si>
  <si>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</si>
  <si>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</si>
  <si>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</si>
  <si>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</si>
  <si>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</si>
  <si>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</si>
  <si>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</si>
  <si>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</si>
  <si>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</si>
  <si>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</si>
  <si>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</si>
  <si>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</si>
  <si>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</si>
  <si>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</si>
  <si>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</si>
  <si>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</si>
  <si>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</si>
  <si>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</si>
  <si>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</si>
  <si>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</si>
  <si>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</si>
  <si>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</si>
  <si>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</si>
  <si>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</si>
  <si>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</si>
  <si>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</si>
  <si>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</si>
  <si>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</si>
  <si>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</si>
  <si>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</si>
  <si>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</si>
  <si>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</si>
  <si>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</si>
  <si>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</si>
  <si>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</si>
  <si>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</si>
  <si>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</si>
  <si>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</si>
  <si>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</si>
  <si>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</si>
  <si>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</si>
  <si>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</si>
  <si>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</si>
  <si>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</si>
  <si>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</si>
  <si>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</si>
  <si>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</si>
  <si>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</si>
  <si>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</si>
  <si>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</si>
  <si>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</si>
  <si>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</si>
  <si>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</si>
  <si>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</si>
  <si>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</si>
  <si>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</si>
  <si>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</si>
  <si>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</si>
  <si>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</si>
  <si>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</si>
  <si>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</si>
  <si>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</si>
  <si>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</si>
  <si>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</si>
  <si>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</si>
  <si>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</si>
  <si>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</si>
  <si>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</si>
  <si>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</si>
  <si>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</si>
  <si>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</si>
  <si>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</si>
  <si>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</si>
  <si>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</si>
  <si>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</si>
  <si>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</si>
  <si>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</si>
  <si>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</si>
  <si>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</si>
  <si>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</si>
  <si>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</si>
  <si>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</si>
  <si>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</si>
  <si>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</si>
  <si>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</si>
  <si>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</si>
  <si>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</si>
  <si>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</si>
  <si>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</si>
  <si>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</si>
  <si>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</si>
  <si>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</si>
  <si>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</si>
  <si>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</si>
  <si>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</si>
  <si>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</si>
  <si>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</si>
  <si>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</si>
  <si>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</si>
  <si>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</si>
  <si>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</si>
  <si>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</si>
  <si>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</si>
  <si>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</si>
  <si>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</si>
  <si>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</si>
  <si>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</si>
  <si>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</si>
  <si>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</si>
  <si>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</si>
  <si>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</si>
  <si>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</si>
  <si>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</si>
  <si>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</si>
  <si>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</si>
  <si>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</si>
  <si>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</si>
  <si>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</si>
  <si>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</si>
  <si>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</si>
  <si>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</si>
  <si>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</si>
  <si>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</si>
  <si>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</si>
  <si>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</si>
  <si>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</si>
  <si>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</si>
  <si>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</si>
  <si>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</si>
  <si>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</si>
  <si>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</si>
  <si>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</si>
  <si>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</si>
  <si>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</si>
  <si>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</si>
  <si>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</si>
  <si>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</si>
  <si>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</si>
  <si>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</si>
  <si>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</si>
  <si>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</si>
  <si>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</si>
  <si>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</si>
  <si>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</si>
  <si>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</si>
  <si>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</si>
  <si>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</si>
  <si>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</si>
  <si>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</si>
  <si>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</si>
  <si>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</si>
  <si>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</si>
  <si>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</si>
  <si>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</si>
  <si>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</si>
  <si>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</si>
  <si>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</si>
  <si>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</si>
  <si>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</si>
  <si>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</si>
  <si>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</si>
  <si>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</si>
  <si>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</si>
  <si>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</si>
  <si>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</si>
  <si>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</si>
  <si>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</si>
  <si>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</si>
  <si>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</si>
  <si>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</si>
  <si>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</si>
  <si>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</si>
  <si>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</si>
  <si>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</si>
  <si>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</si>
  <si>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</si>
  <si>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</si>
  <si>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</si>
  <si>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</si>
  <si>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</si>
  <si>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</si>
  <si>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</si>
  <si>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</si>
  <si>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</si>
  <si>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</si>
  <si>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</si>
  <si>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</si>
  <si>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</si>
  <si>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</si>
  <si>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</si>
  <si>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</si>
  <si>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</si>
  <si>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</si>
  <si>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</si>
  <si>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</si>
  <si>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</si>
  <si>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</si>
  <si>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</si>
  <si>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</si>
  <si>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</si>
  <si>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</si>
  <si>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</si>
  <si>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</si>
  <si>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</si>
  <si>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</si>
  <si>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</si>
  <si>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</si>
  <si>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</si>
  <si>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</si>
  <si>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</si>
  <si>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</si>
  <si>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</si>
  <si>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</si>
  <si>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</si>
  <si>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</si>
  <si>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</si>
  <si>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</si>
  <si>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</si>
  <si>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</si>
  <si>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</si>
  <si>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</si>
  <si>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</si>
  <si>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</si>
  <si>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</si>
  <si>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</si>
  <si>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</si>
  <si>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</si>
  <si>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</si>
  <si>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</si>
  <si>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</si>
  <si>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</si>
  <si>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</si>
  <si>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</si>
  <si>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</si>
  <si>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</si>
  <si>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</si>
  <si>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</si>
  <si>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</si>
  <si>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</si>
  <si>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</si>
  <si>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</si>
  <si>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</si>
  <si>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</si>
  <si>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</si>
  <si>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</si>
  <si>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</si>
  <si>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</si>
  <si>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</si>
  <si>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</si>
  <si>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</si>
  <si>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</si>
  <si>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</si>
  <si>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</si>
  <si>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</si>
  <si>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</si>
  <si>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</si>
  <si>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</si>
  <si>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</si>
  <si>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</si>
  <si>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</si>
  <si>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</si>
  <si>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</si>
  <si>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</si>
  <si>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</si>
  <si>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</si>
  <si>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</si>
  <si>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</si>
  <si>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</si>
  <si>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</si>
  <si>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</si>
  <si>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</si>
  <si>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</si>
  <si>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</si>
  <si>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</si>
  <si>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</si>
  <si>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</si>
  <si>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</si>
  <si>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</si>
  <si>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</si>
  <si>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</si>
  <si>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</si>
  <si>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</si>
  <si>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</si>
  <si>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</si>
  <si>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</si>
  <si>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</si>
  <si>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</si>
  <si>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</si>
  <si>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</si>
  <si>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</si>
  <si>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</si>
  <si>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</si>
  <si>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</si>
  <si>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</si>
  <si>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</si>
  <si>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</si>
  <si>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</si>
  <si>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</si>
  <si>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</si>
  <si>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</si>
  <si>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</si>
  <si>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</si>
  <si>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</si>
  <si>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</si>
  <si>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</si>
  <si>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</si>
  <si>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</si>
  <si>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</si>
  <si>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</si>
  <si>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</si>
  <si>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</si>
  <si>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</si>
  <si>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</si>
  <si>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</si>
  <si>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</si>
  <si>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</si>
  <si>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</si>
  <si>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</si>
  <si>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</si>
  <si>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</si>
  <si>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</si>
  <si>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</si>
  <si>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</si>
  <si>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</si>
  <si>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</si>
  <si>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</si>
  <si>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</si>
  <si>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</si>
  <si>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</si>
  <si>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</si>
  <si>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</si>
  <si>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</si>
  <si>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</si>
  <si>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</si>
  <si>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</si>
  <si>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</si>
  <si>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</si>
  <si>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</si>
  <si>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</si>
  <si>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</si>
  <si>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</si>
  <si>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</si>
  <si>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</si>
  <si>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</si>
  <si>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</si>
  <si>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</si>
  <si>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</si>
  <si>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</si>
  <si>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</si>
  <si>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</si>
  <si>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</si>
  <si>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</si>
  <si>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</si>
  <si>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</si>
  <si>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</si>
  <si>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</si>
  <si>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</si>
  <si>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</si>
  <si>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</si>
  <si>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</si>
  <si>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</si>
  <si>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</si>
  <si>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</si>
  <si>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</si>
  <si>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</si>
  <si>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</si>
  <si>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</si>
  <si>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</si>
  <si>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</si>
  <si>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</si>
  <si>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</si>
  <si>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</si>
  <si>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</si>
  <si>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</si>
  <si>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</si>
  <si>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</si>
  <si>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</si>
  <si>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</si>
  <si>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</si>
  <si>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</si>
  <si>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</si>
  <si>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</si>
  <si>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</si>
  <si>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</si>
  <si>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</si>
  <si>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</si>
  <si>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</si>
  <si>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</si>
  <si>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</si>
  <si>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</si>
  <si>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</si>
  <si>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</si>
  <si>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</si>
  <si>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</si>
  <si>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</si>
  <si>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</si>
  <si>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</si>
  <si>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</si>
  <si>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</si>
  <si>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</si>
  <si>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</si>
  <si>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</si>
  <si>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</si>
  <si>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</si>
  <si>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</si>
  <si>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</si>
  <si>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</si>
  <si>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</si>
  <si>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</si>
  <si>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</si>
  <si>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</si>
  <si>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</si>
  <si>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</si>
  <si>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</si>
  <si>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</si>
  <si>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</si>
  <si>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</si>
  <si>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</si>
  <si>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</si>
  <si>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</si>
  <si>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</si>
  <si>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</si>
  <si>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</si>
  <si>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</si>
  <si>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</si>
  <si>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</si>
  <si>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</si>
  <si>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</si>
  <si>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</si>
  <si>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</si>
  <si>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</si>
  <si>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</si>
  <si>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</si>
  <si>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</si>
  <si>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</si>
  <si>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</si>
  <si>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</si>
  <si>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</si>
  <si>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</si>
  <si>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</si>
  <si>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</si>
  <si>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</si>
  <si>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</si>
  <si>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</si>
  <si>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</si>
  <si>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</si>
  <si>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</si>
  <si>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</si>
  <si>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</si>
  <si>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</si>
  <si>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</si>
  <si>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</si>
  <si>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</si>
  <si>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</si>
  <si>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</si>
  <si>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</si>
  <si>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</si>
  <si>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</si>
  <si>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</si>
  <si>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</si>
  <si>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</si>
  <si>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</si>
  <si>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</si>
  <si>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</si>
  <si>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</si>
  <si>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</si>
  <si>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</si>
  <si>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</si>
  <si>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</si>
  <si>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</si>
  <si>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</si>
  <si>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</si>
  <si>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</si>
  <si>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</si>
  <si>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</si>
  <si>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</si>
  <si>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</si>
  <si>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</si>
  <si>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</si>
  <si>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</si>
  <si>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</si>
  <si>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</si>
  <si>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</si>
  <si>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</si>
  <si>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</si>
  <si>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</si>
  <si>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</si>
  <si>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</si>
  <si>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</si>
  <si>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</si>
  <si>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</si>
  <si>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</si>
  <si>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</si>
  <si>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</si>
  <si>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</si>
  <si>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</si>
  <si>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</si>
  <si>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</si>
  <si>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</si>
  <si>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</si>
  <si>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</si>
  <si>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</si>
  <si>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</si>
  <si>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</si>
  <si>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</si>
  <si>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</si>
  <si>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</si>
  <si>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</si>
  <si>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</si>
  <si>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</si>
  <si>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</si>
  <si>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</si>
  <si>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</si>
  <si>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</si>
  <si>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</si>
  <si>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</si>
  <si>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</si>
  <si>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</si>
  <si>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</si>
  <si>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</si>
  <si>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</si>
  <si>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</si>
  <si>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</si>
  <si>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</si>
  <si>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</si>
  <si>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</si>
  <si>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</si>
  <si>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</si>
  <si>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</si>
  <si>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</si>
  <si>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</si>
  <si>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</si>
  <si>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</si>
  <si>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</si>
  <si>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</si>
  <si>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</si>
  <si>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</si>
  <si>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</si>
  <si>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</si>
  <si>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</si>
  <si>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</si>
  <si>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</si>
  <si>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</si>
  <si>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</si>
  <si>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</si>
  <si>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</si>
  <si>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</si>
  <si>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</si>
  <si>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</si>
  <si>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</si>
  <si>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</si>
  <si>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</si>
  <si>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</si>
  <si>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</si>
  <si>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</si>
  <si>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</si>
  <si>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</si>
  <si>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</si>
  <si>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</si>
  <si>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</si>
  <si>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</si>
  <si>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</si>
  <si>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</si>
  <si>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</si>
  <si>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</si>
  <si>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</si>
  <si>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</si>
  <si>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</si>
  <si>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</si>
  <si>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</si>
  <si>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</si>
  <si>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</si>
  <si>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</si>
  <si>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</si>
  <si>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</si>
  <si>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</si>
  <si>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</si>
  <si>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</si>
  <si>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</si>
  <si>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</si>
  <si>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</si>
  <si>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</si>
  <si>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</si>
  <si>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</si>
  <si>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</si>
  <si>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</si>
  <si>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</si>
  <si>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</si>
  <si>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</si>
  <si>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</si>
  <si>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</si>
  <si>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</si>
  <si>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</si>
  <si>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</si>
  <si>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</si>
  <si>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</si>
  <si>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</si>
  <si>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</si>
  <si>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</si>
  <si>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</si>
  <si>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</si>
  <si>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</si>
  <si>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</si>
  <si>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</si>
  <si>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</si>
  <si>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</si>
  <si>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</si>
  <si>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</si>
  <si>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</si>
  <si>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</si>
  <si>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</si>
  <si>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</si>
  <si>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</si>
  <si>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</si>
  <si>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</si>
  <si>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</si>
  <si>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</si>
  <si>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</si>
  <si>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</si>
  <si>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</si>
  <si>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</si>
  <si>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</si>
  <si>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</si>
  <si>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</si>
  <si>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</si>
  <si>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</si>
  <si>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</si>
  <si>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</si>
  <si>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</si>
  <si>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</si>
  <si>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</si>
  <si>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</si>
  <si>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</si>
  <si>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</si>
  <si>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</si>
  <si>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</si>
  <si>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</si>
  <si>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</si>
  <si>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</si>
  <si>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</si>
  <si>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</si>
  <si>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</si>
  <si>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</si>
  <si>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</si>
  <si>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</si>
  <si>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</si>
  <si>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</si>
  <si>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</si>
  <si>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</si>
  <si>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</si>
  <si>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</si>
  <si>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</si>
  <si>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</si>
  <si>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</si>
  <si>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</si>
  <si>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</si>
  <si>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</si>
  <si>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</si>
  <si>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</si>
  <si>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</si>
  <si>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</si>
  <si>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</si>
  <si>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</si>
  <si>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</si>
  <si>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</si>
  <si>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</si>
  <si>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</si>
  <si>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</si>
  <si>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</si>
  <si>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</si>
  <si>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</si>
  <si>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</si>
  <si>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</si>
  <si>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</si>
  <si>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</si>
  <si>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</si>
  <si>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</si>
  <si>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</si>
  <si>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</si>
  <si>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</si>
  <si>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</si>
  <si>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</si>
  <si>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</si>
  <si>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</si>
  <si>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</si>
  <si>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</si>
  <si>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</si>
  <si>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</si>
  <si>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</si>
  <si>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</si>
  <si>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</si>
  <si>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</si>
  <si>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</si>
  <si>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</si>
  <si>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</si>
  <si>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</si>
  <si>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</si>
  <si>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</si>
  <si>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</si>
  <si>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</si>
  <si>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</si>
  <si>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</si>
  <si>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</si>
  <si>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</si>
  <si>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</si>
  <si>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</si>
  <si>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</si>
  <si>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</si>
  <si>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</si>
  <si>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</si>
  <si>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</si>
  <si>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</si>
  <si>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</si>
  <si>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</si>
  <si>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</si>
  <si>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</si>
  <si>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</si>
  <si>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</si>
  <si>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</si>
  <si>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</si>
  <si>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</si>
  <si>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</si>
  <si>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</si>
  <si>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</si>
  <si>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</si>
  <si>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</si>
  <si>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</si>
  <si>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</si>
  <si>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</si>
  <si>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</si>
  <si>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</si>
  <si>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</si>
  <si>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</si>
  <si>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</si>
  <si>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</si>
  <si>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</si>
  <si>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</si>
  <si>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</si>
  <si>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</si>
  <si>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</si>
  <si>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</si>
  <si>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</si>
  <si>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</si>
  <si>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</si>
  <si>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</si>
  <si>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</si>
  <si>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</si>
  <si>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</si>
  <si>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</si>
  <si>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</si>
  <si>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</si>
  <si>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</si>
  <si>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</si>
  <si>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</si>
  <si>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</si>
  <si>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</si>
  <si>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</si>
  <si>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</si>
  <si>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</si>
  <si>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</si>
  <si>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</si>
  <si>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</si>
  <si>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</si>
  <si>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</si>
  <si>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</si>
  <si>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</si>
  <si>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</si>
  <si>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</si>
  <si>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</si>
  <si>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</si>
  <si>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</si>
  <si>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</si>
  <si>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</si>
  <si>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</si>
  <si>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</si>
  <si>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</si>
  <si>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</si>
  <si>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</si>
  <si>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</si>
  <si>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</si>
  <si>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</si>
  <si>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</si>
  <si>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</si>
  <si>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</si>
  <si>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</si>
  <si>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</si>
  <si>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</si>
  <si>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</si>
  <si>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</si>
  <si>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</si>
  <si>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</si>
  <si>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</si>
  <si>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</si>
  <si>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</si>
  <si>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</si>
  <si>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</si>
  <si>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</si>
  <si>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</si>
  <si>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</si>
  <si>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</si>
  <si>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</si>
  <si>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</si>
  <si>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</si>
  <si>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</si>
  <si>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</si>
  <si>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</si>
  <si>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</si>
  <si>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</si>
  <si>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</si>
  <si>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</si>
  <si>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</si>
  <si>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</si>
  <si>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</si>
  <si>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</si>
  <si>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</si>
  <si>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</si>
  <si>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</si>
  <si>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</si>
  <si>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</si>
  <si>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</si>
  <si>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</si>
  <si>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</si>
  <si>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</si>
  <si>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</si>
  <si>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</si>
  <si>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</si>
  <si>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</si>
  <si>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</si>
  <si>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</si>
  <si>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</si>
  <si>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</si>
  <si>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</si>
  <si>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</si>
  <si>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</si>
  <si>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</si>
  <si>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</si>
  <si>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</si>
  <si>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</si>
  <si>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</si>
  <si>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</si>
  <si>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</si>
  <si>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</si>
  <si>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</si>
  <si>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</si>
  <si>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</si>
  <si>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</si>
  <si>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</si>
  <si>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</si>
  <si>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</si>
  <si>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</si>
  <si>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</si>
  <si>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</si>
  <si>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</si>
  <si>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</si>
  <si>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</si>
  <si>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</si>
  <si>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</si>
  <si>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</si>
  <si>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</si>
  <si>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</si>
  <si>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</si>
  <si>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</si>
  <si>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</si>
  <si>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</si>
  <si>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</si>
  <si>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</si>
  <si>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</si>
  <si>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</si>
  <si>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</si>
  <si>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</si>
  <si>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</si>
  <si>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</si>
  <si>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</si>
  <si>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</si>
  <si>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</si>
  <si>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</si>
  <si>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</si>
  <si>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</si>
  <si>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</si>
  <si>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</si>
  <si>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</si>
  <si>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</si>
  <si>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</si>
  <si>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</si>
  <si>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</si>
  <si>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</si>
  <si>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</si>
  <si>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</si>
  <si>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</si>
  <si>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</si>
  <si>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</si>
  <si>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</si>
  <si>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</si>
  <si>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</si>
  <si>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</si>
  <si>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</si>
  <si>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</si>
  <si>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</si>
  <si>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</si>
  <si>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</si>
  <si>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</si>
  <si>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</si>
  <si>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</si>
  <si>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</si>
  <si>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</si>
  <si>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</si>
  <si>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</si>
  <si>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</si>
  <si>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</si>
  <si>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</si>
  <si>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</si>
  <si>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</si>
  <si>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</si>
  <si>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</si>
  <si>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</si>
  <si>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</si>
  <si>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</si>
  <si>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</si>
  <si>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</si>
  <si>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</si>
  <si>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</si>
  <si>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</si>
  <si>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</si>
  <si>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</si>
  <si>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</si>
  <si>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</si>
  <si>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</si>
  <si>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</si>
  <si>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</si>
  <si>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</si>
  <si>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</si>
  <si>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</si>
  <si>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</si>
  <si>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</si>
  <si>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</si>
  <si>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</si>
  <si>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</si>
  <si>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</si>
  <si>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</si>
  <si>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</si>
  <si>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</si>
  <si>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</si>
  <si>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</si>
  <si>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</si>
  <si>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</si>
  <si>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</si>
  <si>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</si>
  <si>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</si>
  <si>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</si>
  <si>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</si>
  <si>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</si>
  <si>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</si>
  <si>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</si>
  <si>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</si>
  <si>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</si>
  <si>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</si>
  <si>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</si>
  <si>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</si>
  <si>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</si>
  <si>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</si>
  <si>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</si>
  <si>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</si>
  <si>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</si>
  <si>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</si>
  <si>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</si>
  <si>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</si>
  <si>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</si>
  <si>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</si>
  <si>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</si>
  <si>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</si>
  <si>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</si>
  <si>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</si>
  <si>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</si>
  <si>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</si>
  <si>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</si>
  <si>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</si>
  <si>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</si>
  <si>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</si>
  <si>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</si>
  <si>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</si>
  <si>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</si>
  <si>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</si>
  <si>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</si>
  <si>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</si>
  <si>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</si>
  <si>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</si>
  <si>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</si>
  <si>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</si>
  <si>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</si>
  <si>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</si>
  <si>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</si>
  <si>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</si>
  <si>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</si>
  <si>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</si>
  <si>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</si>
  <si>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</si>
  <si>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</si>
  <si>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</si>
  <si>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</si>
  <si>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</si>
  <si>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</si>
  <si>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</si>
  <si>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</si>
  <si>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</si>
  <si>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</si>
  <si>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</si>
  <si>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</si>
  <si>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</si>
  <si>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</si>
  <si>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</si>
  <si>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</si>
  <si>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</si>
  <si>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</si>
  <si>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</si>
  <si>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</si>
  <si>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</si>
  <si>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</si>
  <si>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</si>
  <si>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</si>
  <si>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</si>
  <si>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</si>
  <si>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</si>
  <si>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</si>
  <si>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</si>
  <si>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</si>
  <si>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</si>
  <si>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</si>
  <si>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</si>
  <si>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</si>
  <si>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</si>
  <si>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</si>
  <si>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</si>
  <si>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</si>
  <si>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</si>
  <si>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</si>
  <si>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</si>
  <si>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</si>
  <si>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</si>
  <si>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</si>
  <si>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</si>
  <si>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</si>
  <si>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</si>
  <si>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</si>
  <si>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</si>
  <si>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</si>
  <si>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</si>
  <si>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</si>
  <si>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</si>
  <si>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</si>
  <si>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</si>
  <si>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</si>
  <si>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</si>
  <si>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</si>
  <si>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</si>
  <si>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</si>
  <si>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</si>
  <si>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</si>
  <si>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</si>
  <si>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</si>
  <si>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</si>
  <si>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</si>
  <si>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</si>
  <si>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</si>
  <si>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</si>
  <si>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</si>
  <si>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</si>
  <si>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</si>
  <si>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</si>
  <si>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</si>
  <si>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</si>
  <si>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</si>
  <si>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</si>
  <si>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</si>
  <si>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</si>
  <si>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</si>
  <si>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</si>
  <si>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</si>
  <si>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</si>
  <si>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</si>
  <si>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</si>
  <si>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</si>
  <si>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</si>
  <si>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</si>
  <si>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</si>
  <si>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</si>
  <si>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</si>
  <si>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</si>
  <si>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</si>
  <si>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</si>
  <si>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</si>
  <si>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</si>
  <si>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</si>
  <si>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</si>
  <si>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</si>
  <si>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</si>
  <si>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</si>
  <si>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</si>
  <si>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</si>
  <si>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</si>
  <si>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</si>
  <si>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</si>
  <si>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</si>
  <si>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</si>
  <si>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</si>
  <si>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</si>
  <si>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</si>
  <si>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</si>
  <si>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</si>
  <si>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</si>
  <si>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</si>
  <si>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</si>
  <si>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</si>
  <si>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</si>
  <si>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</si>
  <si>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</si>
  <si>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</si>
  <si>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</si>
  <si>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</si>
  <si>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</si>
  <si>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</si>
  <si>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</si>
  <si>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</si>
  <si>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</si>
  <si>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</si>
  <si>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</si>
  <si>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</si>
  <si>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</si>
  <si>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</si>
  <si>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</si>
  <si>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</si>
  <si>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</si>
  <si>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</si>
  <si>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</si>
  <si>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</si>
  <si>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</si>
  <si>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</si>
  <si>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</si>
  <si>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</si>
  <si>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</si>
  <si>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</si>
  <si>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</si>
  <si>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</si>
  <si>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</si>
  <si>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</si>
  <si>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</si>
  <si>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</si>
  <si>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</si>
  <si>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</si>
  <si>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</si>
  <si>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</si>
  <si>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</si>
  <si>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</si>
  <si>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</si>
  <si>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</si>
  <si>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</si>
  <si>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</si>
  <si>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</si>
  <si>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</si>
  <si>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</si>
  <si>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</si>
  <si>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</si>
  <si>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</si>
  <si>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</si>
  <si>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</si>
  <si>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</si>
  <si>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</si>
  <si>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</si>
  <si>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</si>
  <si>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</si>
  <si>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</si>
  <si>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</si>
  <si>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</si>
  <si>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</si>
  <si>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</si>
  <si>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</si>
  <si>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</si>
  <si>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</si>
  <si>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</si>
  <si>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</si>
  <si>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</si>
  <si>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</si>
  <si>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</si>
  <si>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</si>
  <si>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</si>
  <si>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</si>
  <si>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</si>
  <si>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</si>
  <si>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</si>
  <si>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</si>
  <si>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</si>
  <si>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</si>
  <si>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</si>
  <si>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</si>
  <si>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</si>
  <si>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</si>
  <si>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</si>
  <si>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</si>
  <si>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</si>
  <si>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</si>
  <si>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</si>
  <si>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</si>
  <si>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</si>
  <si>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</si>
  <si>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</si>
  <si>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</si>
  <si>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</si>
  <si>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</si>
  <si>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</si>
  <si>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</si>
  <si>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</si>
  <si>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</si>
  <si>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</si>
  <si>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</si>
  <si>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</si>
  <si>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</si>
  <si>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</si>
  <si>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</si>
  <si>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</si>
  <si>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</si>
  <si>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</si>
  <si>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</si>
  <si>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</si>
  <si>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</si>
  <si>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</si>
  <si>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</si>
  <si>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</si>
  <si>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</si>
  <si>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</si>
  <si>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</si>
  <si>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</si>
  <si>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</si>
  <si>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</si>
  <si>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</si>
  <si>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</si>
  <si>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</si>
  <si>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</si>
  <si>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</si>
  <si>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</si>
  <si>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</si>
  <si>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</si>
  <si>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</si>
  <si>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</si>
  <si>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</si>
  <si>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</si>
  <si>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</si>
  <si>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</si>
  <si>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</si>
  <si>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</si>
  <si>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</si>
  <si>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</si>
  <si>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</si>
  <si>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</si>
  <si>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</si>
  <si>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</si>
  <si>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</si>
  <si>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</si>
  <si>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</si>
  <si>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</si>
  <si>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</si>
  <si>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</si>
  <si>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</si>
  <si>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</si>
  <si>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</si>
  <si>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</si>
  <si>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</si>
  <si>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</si>
  <si>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</si>
  <si>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</si>
  <si>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</si>
  <si>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</si>
  <si>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</si>
  <si>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</si>
  <si>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</si>
  <si>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</si>
  <si>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</si>
  <si>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</si>
  <si>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</si>
  <si>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</si>
  <si>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</si>
  <si>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</si>
  <si>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</si>
  <si>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</si>
  <si>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</si>
  <si>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</si>
  <si>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</si>
  <si>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</si>
  <si>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</si>
  <si>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</si>
  <si>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</si>
  <si>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</si>
  <si>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</si>
  <si>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</si>
  <si>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</si>
  <si>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</si>
  <si>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</si>
  <si>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</si>
  <si>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</si>
  <si>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</si>
  <si>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</si>
  <si>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</si>
  <si>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</si>
  <si>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</si>
  <si>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</si>
  <si>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</si>
  <si>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</si>
  <si>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</si>
  <si>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</si>
  <si>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</si>
  <si>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</si>
  <si>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</si>
  <si>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</si>
  <si>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</si>
  <si>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</si>
  <si>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</si>
  <si>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</si>
  <si>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</si>
  <si>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</si>
  <si>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</si>
  <si>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</si>
  <si>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</si>
  <si>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</si>
  <si>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</si>
  <si>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</si>
  <si>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</si>
  <si>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</si>
  <si>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</si>
  <si>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</si>
  <si>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</si>
  <si>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</si>
  <si>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</si>
  <si>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</si>
  <si>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</si>
  <si>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</si>
  <si>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</si>
  <si>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</si>
  <si>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</si>
  <si>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</si>
  <si>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</si>
  <si>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</si>
  <si>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</si>
  <si>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</si>
  <si>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</si>
  <si>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</si>
  <si>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</si>
  <si>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</si>
  <si>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</si>
  <si>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</si>
  <si>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</si>
  <si>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</si>
  <si>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</si>
  <si>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</si>
  <si>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</si>
  <si>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</si>
  <si>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</si>
  <si>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</si>
  <si>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</si>
  <si>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</si>
  <si>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</si>
  <si>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</si>
  <si>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</si>
  <si>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</si>
  <si>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</si>
  <si>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</si>
  <si>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</si>
  <si>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</si>
  <si>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</si>
  <si>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</si>
  <si>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</si>
  <si>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</si>
  <si>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</si>
  <si>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</si>
  <si>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</si>
  <si>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</si>
  <si>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</si>
  <si>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</si>
  <si>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</si>
  <si>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</si>
  <si>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</si>
  <si>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</si>
  <si>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</si>
  <si>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</si>
  <si>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</si>
  <si>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</si>
  <si>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</si>
  <si>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</si>
  <si>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</si>
  <si>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</si>
  <si>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</si>
  <si>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</si>
  <si>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</si>
  <si>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</si>
  <si>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</si>
  <si>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</si>
  <si>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</si>
  <si>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</si>
  <si>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</si>
  <si>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</si>
  <si>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</si>
  <si>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</si>
  <si>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</si>
  <si>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</si>
  <si>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</si>
  <si>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</si>
  <si>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</si>
  <si>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</si>
  <si>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</si>
  <si>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</si>
  <si>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</si>
  <si>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</si>
  <si>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</si>
  <si>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</si>
  <si>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</si>
  <si>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</si>
  <si>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</si>
  <si>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</si>
  <si>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</si>
  <si>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</si>
  <si>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</si>
  <si>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</si>
  <si>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</si>
  <si>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</si>
  <si>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</si>
  <si>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</si>
  <si>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</si>
  <si>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</si>
  <si>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</si>
  <si>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</si>
  <si>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</si>
  <si>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</si>
  <si>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</si>
  <si>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</si>
  <si>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</si>
  <si>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</si>
  <si>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</si>
  <si>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</si>
  <si>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</si>
  <si>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</si>
  <si>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</si>
  <si>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</si>
  <si>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</si>
  <si>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</si>
  <si>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</si>
  <si>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</si>
  <si>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</si>
  <si>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</si>
  <si>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</si>
  <si>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</si>
  <si>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</si>
  <si>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</si>
  <si>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</si>
  <si>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</si>
  <si>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</si>
  <si>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</si>
  <si>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</si>
  <si>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</si>
  <si>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</si>
  <si>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</si>
  <si>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</si>
  <si>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</si>
  <si>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</si>
  <si>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</si>
  <si>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</si>
  <si>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</si>
  <si>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</si>
  <si>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</si>
  <si>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</si>
  <si>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</si>
  <si>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</si>
  <si>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</si>
  <si>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</si>
  <si>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</si>
  <si>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</si>
  <si>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</si>
  <si>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</si>
  <si>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</si>
  <si>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</si>
  <si>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</si>
  <si>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</si>
  <si>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</si>
  <si>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</si>
  <si>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</si>
  <si>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</si>
  <si>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</si>
  <si>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</si>
  <si>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</si>
  <si>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</si>
  <si>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</si>
  <si>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</si>
  <si>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</si>
  <si>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</si>
  <si>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</si>
  <si>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</si>
  <si>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</si>
  <si>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</si>
  <si>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</si>
  <si>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</si>
  <si>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</si>
  <si>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</si>
  <si>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</si>
  <si>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</si>
  <si>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</si>
  <si>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</si>
  <si>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</si>
  <si>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</si>
  <si>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</si>
  <si>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</si>
  <si>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</si>
  <si>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</si>
  <si>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</si>
  <si>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</si>
  <si>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</si>
  <si>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</si>
  <si>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</si>
  <si>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</si>
  <si>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</si>
  <si>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</si>
  <si>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</si>
  <si>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</si>
  <si>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</si>
  <si>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</si>
  <si>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</si>
  <si>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</si>
  <si>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</si>
  <si>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</si>
  <si>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</si>
  <si>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</si>
  <si>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</si>
  <si>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</si>
  <si>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</si>
  <si>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</si>
  <si>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</si>
  <si>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</si>
  <si>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</si>
  <si>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</si>
  <si>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</si>
  <si>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</si>
  <si>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</si>
  <si>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</si>
  <si>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</si>
  <si>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</si>
  <si>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</si>
  <si>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</si>
  <si>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</si>
  <si>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</si>
  <si>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</si>
  <si>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</si>
  <si>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</si>
  <si>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</si>
  <si>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</si>
  <si>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</si>
  <si>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</si>
  <si>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</si>
  <si>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</si>
  <si>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</si>
  <si>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</si>
  <si>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</si>
  <si>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</si>
  <si>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</si>
  <si>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</si>
  <si>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</si>
  <si>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</si>
  <si>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</si>
  <si>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</si>
  <si>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</si>
  <si>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</si>
  <si>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</si>
  <si>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</si>
  <si>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</si>
  <si>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</si>
  <si>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</si>
  <si>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</si>
  <si>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</si>
  <si>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</si>
  <si>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</si>
  <si>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</si>
  <si>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</si>
  <si>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</si>
  <si>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</si>
  <si>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</si>
  <si>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</si>
  <si>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</si>
  <si>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</si>
  <si>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</si>
  <si>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</si>
  <si>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</si>
  <si>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</si>
  <si>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</si>
  <si>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</si>
  <si>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</si>
  <si>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</si>
  <si>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</si>
  <si>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</si>
  <si>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</si>
  <si>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</si>
  <si>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</si>
  <si>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</si>
  <si>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</si>
  <si>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</si>
  <si>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</si>
  <si>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</si>
  <si>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</si>
  <si>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</si>
  <si>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</si>
  <si>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</si>
  <si>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</si>
  <si>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</si>
  <si>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</si>
  <si>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</si>
  <si>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</si>
  <si>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</si>
  <si>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</si>
  <si>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</si>
  <si>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</si>
  <si>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</si>
  <si>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</si>
  <si>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</si>
  <si>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</si>
  <si>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</si>
  <si>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</si>
  <si>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</si>
  <si>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</si>
  <si>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</si>
  <si>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</si>
  <si>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</si>
  <si>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</si>
  <si>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</si>
  <si>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</si>
  <si>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</si>
  <si>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</si>
  <si>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</si>
  <si>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</si>
  <si>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</si>
  <si>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</si>
  <si>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</si>
  <si>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</si>
  <si>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</si>
  <si>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</si>
  <si>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</si>
  <si>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</si>
  <si>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</si>
  <si>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</si>
  <si>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</si>
  <si>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</si>
  <si>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</si>
  <si>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</si>
  <si>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</si>
  <si>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</si>
  <si>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</si>
  <si>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</si>
  <si>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</si>
  <si>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</si>
  <si>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</si>
  <si>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</si>
  <si>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</si>
  <si>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</si>
  <si>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</si>
  <si>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</si>
  <si>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</si>
  <si>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</si>
  <si>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</si>
  <si>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</si>
  <si>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</si>
  <si>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</si>
  <si>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</si>
  <si>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</si>
  <si>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</si>
  <si>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</si>
  <si>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</si>
  <si>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</si>
  <si>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</si>
  <si>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</si>
  <si>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</si>
  <si>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</si>
  <si>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</si>
  <si>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</si>
  <si>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</si>
  <si>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</si>
  <si>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</si>
  <si>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</si>
  <si>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</si>
  <si>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</si>
  <si>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</si>
  <si>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</si>
  <si>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</si>
  <si>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</si>
  <si>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</si>
  <si>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</si>
  <si>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</si>
  <si>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</si>
  <si>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</si>
  <si>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</si>
  <si>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</si>
  <si>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</si>
  <si>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</si>
  <si>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</si>
  <si>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</si>
  <si>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</si>
  <si>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</si>
  <si>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</si>
  <si>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</si>
  <si>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</si>
  <si>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</si>
  <si>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</si>
  <si>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</si>
  <si>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</si>
  <si>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</si>
  <si>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</si>
  <si>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</si>
  <si>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</si>
  <si>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</si>
  <si>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</si>
  <si>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</si>
  <si>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</si>
  <si>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</si>
  <si>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</si>
  <si>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</si>
  <si>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</si>
  <si>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</si>
  <si>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</si>
  <si>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</si>
  <si>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</si>
  <si>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</si>
  <si>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</si>
  <si>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</si>
  <si>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</si>
  <si>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</si>
  <si>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</si>
  <si>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</si>
  <si>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</si>
  <si>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</si>
  <si>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</si>
  <si>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</si>
  <si>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</si>
  <si>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</si>
  <si>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</si>
  <si>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</si>
  <si>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</si>
  <si>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</si>
  <si>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</si>
  <si>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</si>
  <si>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</si>
  <si>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</si>
  <si>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</si>
  <si>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</si>
  <si>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</si>
  <si>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</si>
  <si>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</si>
  <si>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</si>
  <si>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</si>
  <si>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</si>
  <si>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</si>
  <si>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</si>
  <si>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</si>
  <si>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</si>
  <si>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</si>
  <si>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</si>
  <si>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</si>
  <si>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</si>
  <si>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</si>
  <si>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</si>
  <si>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</si>
  <si>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</si>
  <si>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</si>
  <si>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</si>
  <si>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</si>
  <si>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</si>
  <si>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</si>
  <si>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</si>
  <si>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</si>
  <si>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</si>
  <si>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</si>
  <si>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</si>
  <si>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</si>
  <si>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</si>
  <si>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</si>
  <si>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</si>
  <si>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</si>
  <si>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</si>
  <si>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</si>
  <si>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</si>
  <si>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</si>
  <si>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</si>
  <si>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</si>
  <si>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</si>
  <si>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</si>
  <si>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</si>
  <si>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</si>
  <si>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</si>
  <si>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</si>
  <si>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</si>
  <si>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</si>
  <si>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</si>
  <si>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</si>
  <si>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</si>
  <si>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</si>
  <si>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</si>
  <si>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</si>
  <si>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</si>
  <si>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</si>
  <si>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</si>
  <si>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</si>
  <si>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</si>
  <si>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</si>
  <si>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</si>
  <si>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</si>
  <si>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</si>
  <si>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</si>
  <si>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</si>
  <si>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</si>
  <si>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</si>
  <si>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</si>
  <si>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</si>
  <si>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</si>
  <si>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</si>
  <si>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</si>
  <si>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</si>
  <si>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</si>
  <si>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</si>
  <si>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</si>
  <si>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</si>
  <si>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</si>
  <si>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</si>
  <si>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</si>
  <si>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</si>
  <si>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</si>
  <si>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</si>
  <si>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</si>
  <si>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</si>
  <si>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</si>
  <si>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</si>
  <si>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</si>
  <si>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</si>
  <si>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</si>
  <si>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</si>
  <si>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</si>
  <si>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</si>
  <si>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</si>
  <si>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</si>
  <si>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</si>
  <si>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</si>
  <si>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</si>
  <si>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</si>
  <si>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</si>
  <si>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</si>
  <si>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</si>
  <si>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</si>
  <si>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</si>
  <si>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</si>
  <si>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</si>
  <si>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</si>
  <si>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</si>
  <si>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</si>
  <si>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</si>
  <si>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</si>
  <si>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</si>
  <si>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</si>
  <si>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</si>
  <si>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</si>
  <si>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</si>
  <si>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</si>
  <si>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</si>
  <si>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</si>
  <si>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</si>
  <si>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</si>
  <si>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</si>
  <si>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</si>
  <si>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</si>
  <si>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</si>
  <si>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</si>
  <si>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</si>
  <si>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</si>
  <si>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</si>
  <si>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</si>
  <si>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</si>
  <si>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</si>
  <si>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</si>
  <si>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</si>
  <si>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</si>
  <si>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</si>
  <si>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</si>
  <si>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</si>
  <si>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</si>
  <si>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</si>
  <si>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</si>
  <si>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</si>
  <si>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</si>
  <si>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</si>
  <si>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</si>
  <si>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</si>
  <si>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</si>
  <si>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</si>
  <si>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</si>
  <si>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</si>
  <si>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</si>
  <si>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</si>
  <si>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</si>
  <si>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</si>
  <si>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</si>
  <si>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</si>
  <si>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</si>
  <si>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</si>
  <si>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</si>
  <si>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</si>
  <si>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</si>
  <si>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</si>
  <si>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</si>
  <si>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</si>
  <si>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</si>
  <si>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</si>
  <si>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</si>
  <si>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</si>
  <si>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</si>
  <si>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</si>
  <si>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</si>
  <si>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</si>
  <si>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</si>
  <si>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</si>
  <si>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</si>
  <si>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</si>
  <si>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</si>
  <si>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</si>
  <si>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</si>
  <si>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</si>
  <si>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</si>
  <si>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</si>
  <si>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</si>
  <si>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</si>
  <si>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</si>
  <si>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</si>
  <si>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</si>
  <si>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</si>
  <si>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</si>
  <si>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</si>
  <si>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</si>
  <si>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</si>
  <si>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</si>
  <si>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</si>
  <si>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</si>
  <si>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</si>
  <si>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</si>
  <si>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</si>
  <si>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</si>
  <si>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</si>
  <si>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</si>
  <si>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</si>
  <si>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</si>
  <si>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</si>
  <si>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</si>
  <si>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</si>
  <si>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</si>
  <si>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</si>
  <si>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</si>
  <si>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</si>
  <si>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</si>
  <si>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</si>
  <si>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</si>
  <si>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</si>
  <si>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</si>
  <si>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</si>
  <si>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</si>
  <si>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</si>
  <si>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</si>
  <si>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</si>
  <si>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</si>
  <si>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</si>
  <si>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</si>
  <si>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</si>
  <si>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</si>
  <si>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</si>
  <si>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</si>
  <si>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</si>
  <si>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</si>
  <si>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</si>
  <si>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</si>
  <si>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</si>
  <si>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</si>
  <si>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</si>
  <si>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</si>
  <si>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</si>
  <si>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</si>
  <si>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</si>
  <si>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</si>
  <si>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</si>
  <si>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</si>
  <si>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</si>
  <si>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</si>
  <si>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</si>
  <si>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</si>
  <si>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</si>
  <si>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</si>
  <si>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</si>
  <si>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</si>
  <si>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</si>
  <si>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</si>
  <si>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</si>
  <si>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</si>
  <si>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</si>
  <si>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</si>
  <si>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</si>
  <si>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</si>
  <si>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</si>
  <si>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</si>
  <si>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</si>
  <si>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</si>
  <si>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</si>
  <si>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</si>
  <si>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</si>
  <si>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</si>
  <si>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</si>
  <si>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</si>
  <si>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</si>
  <si>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</si>
  <si>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</si>
  <si>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</si>
  <si>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</si>
  <si>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</si>
  <si>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</si>
  <si>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</si>
  <si>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</si>
  <si>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</si>
  <si>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</si>
  <si>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</si>
  <si>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</si>
  <si>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</si>
  <si>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</si>
  <si>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</si>
  <si>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</si>
  <si>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</si>
  <si>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</si>
  <si>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</si>
  <si>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</si>
  <si>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</si>
  <si>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</si>
  <si>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</si>
  <si>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</si>
  <si>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</si>
  <si>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</si>
  <si>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</si>
  <si>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</si>
  <si>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</si>
  <si>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</si>
  <si>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</si>
  <si>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</si>
  <si>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</si>
  <si>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</si>
  <si>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</si>
  <si>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</si>
  <si>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</si>
  <si>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</si>
  <si>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</si>
  <si>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</si>
  <si>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</si>
  <si>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</si>
  <si>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</si>
  <si>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</si>
  <si>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</si>
  <si>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</si>
  <si>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</si>
  <si>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</si>
  <si>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</si>
  <si>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</si>
  <si>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</si>
  <si>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</si>
  <si>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</si>
  <si>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</si>
  <si>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</si>
  <si>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</si>
  <si>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</si>
  <si>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</si>
  <si>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</si>
  <si>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</si>
  <si>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</si>
  <si>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</si>
  <si>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</si>
  <si>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</si>
  <si>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</si>
  <si>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</si>
  <si>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</si>
  <si>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</si>
  <si>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</si>
  <si>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</si>
  <si>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</si>
  <si>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</si>
  <si>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</si>
  <si>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</si>
  <si>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</si>
  <si>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</si>
  <si>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</si>
  <si>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</si>
  <si>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</si>
  <si>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</si>
  <si>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</si>
  <si>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</si>
  <si>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</si>
  <si>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</si>
  <si>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</si>
  <si>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</si>
  <si>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</si>
  <si>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</si>
  <si>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</si>
  <si>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</si>
  <si>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</si>
  <si>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</si>
  <si>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</si>
  <si>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</si>
  <si>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</si>
  <si>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</si>
  <si>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</si>
  <si>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</si>
  <si>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</si>
  <si>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</si>
  <si>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</si>
  <si>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</si>
  <si>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</si>
  <si>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</si>
  <si>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</si>
  <si>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</si>
  <si>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</si>
  <si>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</si>
  <si>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</si>
  <si>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</si>
  <si>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</si>
  <si>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</si>
  <si>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</si>
  <si>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</si>
  <si>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</si>
  <si>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</si>
  <si>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</si>
  <si>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</si>
  <si>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</si>
  <si>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</si>
  <si>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</si>
  <si>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</si>
  <si>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</si>
  <si>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</si>
  <si>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</si>
  <si>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</si>
  <si>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</si>
  <si>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</si>
  <si>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</si>
  <si>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</si>
  <si>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</si>
  <si>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</si>
  <si>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</si>
  <si>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</si>
  <si>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</si>
  <si>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</si>
  <si>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</si>
  <si>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</si>
  <si>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</si>
  <si>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</si>
  <si>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</si>
  <si>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</si>
  <si>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</si>
  <si>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</si>
  <si>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</si>
  <si>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</si>
  <si>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</si>
  <si>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</si>
  <si>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</si>
  <si>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</si>
  <si>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</si>
  <si>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</si>
  <si>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</si>
  <si>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</si>
  <si>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</si>
  <si>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</si>
  <si>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</si>
  <si>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</si>
  <si>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</si>
  <si>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</si>
  <si>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</si>
  <si>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</si>
  <si>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</si>
  <si>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</si>
  <si>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</si>
  <si>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</si>
  <si>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</si>
  <si>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</si>
  <si>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</si>
  <si>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</si>
  <si>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</si>
  <si>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</si>
  <si>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</si>
  <si>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</si>
  <si>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</si>
  <si>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</si>
  <si>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</si>
  <si>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</si>
  <si>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</si>
  <si>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</si>
  <si>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</si>
  <si>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</si>
  <si>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</si>
  <si>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</si>
  <si>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</si>
  <si>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</si>
  <si>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</si>
  <si>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</si>
  <si>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</si>
  <si>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</si>
  <si>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</si>
  <si>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</si>
  <si>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</si>
  <si>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</si>
  <si>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</si>
  <si>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</si>
  <si>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</si>
  <si>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</si>
  <si>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</si>
  <si>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</si>
  <si>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</si>
  <si>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</si>
  <si>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</si>
  <si>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</si>
  <si>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</si>
  <si>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</si>
  <si>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</si>
  <si>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</si>
  <si>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</si>
  <si>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</si>
  <si>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</si>
  <si>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</si>
  <si>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</si>
  <si>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</si>
  <si>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</si>
  <si>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</si>
  <si>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</si>
  <si>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</si>
  <si>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</si>
  <si>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</si>
  <si>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</si>
  <si>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</si>
  <si>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</si>
  <si>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</si>
  <si>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</si>
  <si>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</si>
  <si>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</si>
  <si>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</si>
  <si>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</si>
  <si>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</si>
  <si>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</si>
  <si>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</si>
  <si>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</si>
  <si>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</si>
  <si>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</si>
  <si>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</si>
  <si>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</si>
  <si>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</si>
  <si>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</si>
  <si>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</si>
  <si>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</si>
  <si>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</si>
  <si>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</si>
  <si>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</si>
  <si>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</si>
  <si>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</si>
  <si>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</si>
  <si>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</si>
  <si>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</si>
  <si>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</si>
  <si>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</si>
  <si>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</si>
  <si>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</si>
  <si>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</si>
  <si>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</si>
  <si>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</si>
  <si>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</si>
  <si>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</si>
  <si>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</si>
  <si>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</si>
  <si>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</si>
  <si>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</si>
  <si>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</si>
  <si>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</si>
  <si>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</si>
  <si>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</si>
  <si>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</si>
  <si>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</si>
  <si>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</si>
  <si>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</si>
  <si>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</si>
  <si>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</si>
  <si>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</si>
  <si>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</si>
  <si>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</si>
  <si>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</si>
  <si>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</si>
  <si>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</si>
  <si>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</si>
  <si>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</si>
  <si>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</si>
  <si>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</si>
  <si>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</si>
  <si>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</si>
  <si>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</si>
  <si>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</si>
  <si>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</si>
  <si>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</si>
  <si>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</si>
  <si>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</si>
  <si>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</si>
  <si>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</si>
  <si>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</si>
  <si>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</si>
  <si>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</si>
  <si>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</si>
  <si>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</si>
  <si>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</si>
  <si>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</si>
  <si>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</si>
  <si>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</si>
  <si>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</si>
  <si>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</si>
  <si>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</si>
  <si>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</si>
  <si>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</si>
  <si>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</si>
  <si>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</si>
  <si>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</si>
  <si>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</si>
  <si>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</si>
  <si>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</si>
  <si>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</si>
  <si>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</si>
  <si>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</si>
  <si>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</si>
  <si>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</si>
  <si>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</si>
  <si>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</si>
  <si>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</si>
  <si>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</si>
  <si>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</si>
  <si>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</si>
  <si>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</si>
  <si>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</si>
  <si>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</si>
  <si>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</si>
  <si>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</si>
  <si>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</si>
  <si>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</si>
  <si>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</si>
  <si>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</si>
  <si>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</si>
  <si>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</si>
  <si>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</si>
  <si>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</si>
  <si>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</si>
  <si>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</si>
  <si>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</si>
  <si>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</si>
  <si>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</si>
  <si>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</si>
  <si>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</si>
  <si>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</si>
  <si>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</si>
  <si>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</si>
  <si>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</si>
  <si>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</si>
  <si>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</si>
  <si>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</si>
  <si>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</si>
  <si>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</si>
  <si>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</si>
  <si>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</si>
  <si>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</si>
  <si>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</si>
  <si>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</si>
  <si>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</si>
  <si>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</si>
  <si>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</si>
  <si>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</si>
  <si>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</si>
  <si>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</si>
  <si>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</si>
  <si>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</si>
  <si>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</si>
  <si>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</si>
  <si>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</si>
  <si>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</si>
  <si>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</si>
  <si>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</si>
  <si>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</si>
  <si>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</si>
  <si>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</si>
  <si>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</si>
  <si>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</si>
  <si>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</si>
  <si>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</si>
  <si>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</si>
  <si>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</si>
  <si>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</si>
  <si>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</si>
  <si>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</si>
  <si>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</si>
  <si>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</si>
  <si>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</si>
  <si>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</si>
  <si>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</si>
  <si>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</si>
  <si>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</si>
  <si>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</si>
  <si>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</si>
  <si>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</si>
  <si>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</si>
  <si>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</si>
  <si>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</si>
  <si>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</si>
  <si>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</si>
  <si>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</si>
  <si>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</si>
  <si>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</si>
  <si>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</si>
  <si>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</si>
  <si>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</si>
  <si>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</si>
  <si>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</si>
  <si>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</si>
  <si>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</si>
  <si>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</si>
  <si>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</si>
  <si>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</si>
  <si>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</si>
  <si>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</si>
  <si>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</si>
  <si>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</si>
  <si>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</si>
  <si>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</si>
  <si>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</si>
  <si>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</si>
  <si>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</si>
  <si>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</si>
  <si>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</si>
  <si>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</si>
  <si>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</si>
  <si>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</si>
  <si>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</si>
  <si>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</si>
  <si>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</si>
  <si>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</si>
  <si>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</si>
  <si>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</si>
  <si>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</si>
  <si>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</si>
  <si>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</si>
  <si>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</si>
  <si>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</si>
  <si>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</si>
  <si>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</si>
  <si>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</si>
  <si>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</si>
  <si>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</si>
  <si>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</si>
  <si>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</si>
  <si>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</si>
  <si>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</si>
  <si>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</si>
  <si>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</si>
  <si>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</si>
  <si>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</si>
  <si>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</si>
  <si>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</si>
  <si>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</si>
  <si>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</si>
  <si>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</si>
  <si>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</si>
  <si>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</si>
  <si>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</si>
  <si>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</si>
  <si>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</si>
  <si>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</si>
  <si>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</si>
  <si>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</si>
  <si>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</si>
  <si>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</si>
  <si>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</si>
  <si>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</si>
  <si>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</si>
  <si>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</si>
  <si>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</si>
  <si>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</si>
  <si>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</si>
  <si>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</si>
  <si>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</si>
  <si>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</si>
  <si>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</si>
  <si>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</si>
  <si>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</si>
  <si>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</si>
  <si>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</si>
  <si>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</si>
  <si>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</si>
  <si>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</si>
  <si>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</si>
  <si>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</si>
  <si>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</si>
  <si>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</si>
  <si>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</si>
  <si>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</si>
  <si>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</si>
  <si>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</si>
  <si>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</si>
  <si>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</si>
  <si>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</si>
  <si>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</si>
  <si>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</si>
  <si>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</si>
  <si>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</si>
  <si>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</si>
  <si>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</si>
  <si>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</si>
  <si>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</si>
  <si>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</si>
  <si>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</si>
  <si>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</si>
  <si>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</si>
  <si>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</si>
  <si>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</si>
  <si>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</si>
  <si>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</si>
  <si>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</si>
  <si>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</si>
  <si>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</si>
  <si>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</si>
  <si>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</si>
  <si>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</si>
  <si>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</si>
  <si>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</si>
  <si>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</si>
  <si>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</si>
  <si>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</si>
  <si>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</si>
  <si>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</si>
  <si>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</si>
  <si>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</si>
  <si>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</si>
  <si>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</si>
  <si>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</si>
  <si>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</si>
  <si>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</si>
  <si>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</si>
  <si>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</si>
  <si>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</si>
  <si>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</si>
  <si>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</si>
  <si>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</si>
  <si>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</si>
  <si>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</si>
  <si>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</si>
  <si>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</si>
  <si>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</si>
  <si>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</si>
  <si>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</si>
  <si>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</si>
  <si>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</si>
  <si>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</si>
  <si>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</si>
  <si>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</si>
  <si>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</si>
  <si>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</si>
  <si>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</si>
  <si>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</si>
  <si>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</si>
  <si>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</si>
  <si>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</si>
  <si>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</si>
  <si>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</si>
  <si>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</si>
  <si>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</si>
  <si>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</si>
  <si>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</si>
  <si>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</si>
  <si>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</si>
  <si>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</si>
  <si>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</si>
  <si>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</si>
  <si>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</si>
  <si>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</si>
  <si>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</si>
  <si>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</si>
  <si>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</si>
  <si>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</si>
  <si>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</si>
  <si>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</si>
  <si>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</si>
  <si>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</si>
  <si>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</si>
  <si>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</si>
  <si>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</si>
  <si>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</si>
  <si>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</si>
  <si>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</si>
  <si>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</si>
  <si>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</si>
  <si>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</si>
  <si>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</si>
  <si>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</si>
  <si>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</si>
  <si>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</si>
  <si>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</si>
  <si>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</si>
  <si>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</si>
  <si>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</si>
  <si>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</si>
  <si>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</si>
  <si>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</si>
  <si>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</si>
  <si>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</si>
  <si>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</si>
  <si>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</si>
  <si>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</si>
  <si>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</si>
  <si>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</si>
  <si>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</si>
  <si>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</si>
  <si>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</si>
  <si>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</si>
  <si>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</si>
  <si>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</si>
  <si>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</si>
  <si>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</si>
  <si>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</si>
  <si>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</si>
  <si>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</si>
  <si>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</si>
  <si>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</si>
  <si>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</si>
  <si>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</si>
  <si>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</si>
  <si>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</si>
  <si>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</si>
  <si>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</si>
  <si>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</si>
  <si>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</si>
  <si>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</si>
  <si>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</si>
  <si>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</si>
  <si>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</si>
  <si>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</si>
  <si>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</si>
  <si>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</si>
  <si>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</si>
  <si>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</si>
  <si>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</si>
  <si>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</si>
  <si>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</si>
  <si>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</si>
  <si>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</si>
  <si>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</si>
  <si>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</si>
  <si>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</si>
  <si>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</si>
  <si>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</si>
  <si>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</si>
  <si>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</si>
  <si>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</si>
  <si>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</si>
  <si>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</si>
  <si>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</si>
  <si>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</si>
  <si>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</si>
  <si>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</si>
  <si>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</si>
  <si>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</si>
  <si>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</si>
  <si>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</si>
  <si>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</si>
  <si>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</si>
  <si>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</si>
  <si>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</si>
  <si>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</si>
  <si>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</si>
  <si>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</si>
  <si>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</si>
  <si>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</si>
  <si>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</si>
  <si>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</si>
  <si>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</si>
  <si>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</si>
  <si>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</si>
  <si>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</si>
  <si>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</si>
  <si>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</si>
  <si>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</si>
  <si>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</si>
  <si>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</si>
  <si>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</si>
  <si>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</si>
  <si>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</si>
  <si>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</si>
  <si>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</si>
  <si>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</si>
  <si>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</si>
  <si>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</si>
  <si>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</si>
  <si>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</si>
  <si>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</si>
  <si>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</si>
  <si>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</si>
  <si>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</si>
  <si>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</si>
  <si>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</si>
  <si>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</si>
  <si>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</si>
  <si>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</si>
  <si>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</si>
  <si>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</si>
  <si>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</si>
  <si>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</si>
  <si>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</si>
  <si>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</si>
  <si>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</si>
  <si>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</si>
  <si>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</si>
  <si>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</si>
  <si>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</si>
  <si>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</si>
  <si>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</si>
  <si>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</si>
  <si>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</si>
  <si>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</si>
  <si>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</si>
  <si>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</si>
  <si>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</si>
  <si>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</si>
  <si>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</si>
  <si>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</si>
  <si>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</si>
  <si>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</si>
  <si>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</si>
  <si>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</si>
  <si>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</si>
  <si>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</si>
  <si>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</si>
  <si>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</si>
  <si>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</si>
  <si>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</si>
  <si>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</si>
  <si>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</si>
  <si>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</si>
  <si>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</si>
  <si>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</si>
  <si>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</si>
  <si>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</si>
  <si>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</si>
  <si>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</si>
  <si>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</si>
  <si>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</si>
  <si>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</si>
  <si>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</si>
  <si>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</si>
  <si>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</si>
  <si>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</si>
  <si>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</si>
  <si>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</si>
  <si>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</si>
  <si>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</si>
  <si>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</si>
  <si>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</si>
  <si>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</si>
  <si>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</si>
  <si>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</si>
  <si>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</si>
  <si>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</si>
  <si>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</si>
  <si>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</si>
  <si>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</si>
  <si>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</si>
  <si>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</si>
  <si>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</si>
  <si>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</si>
  <si>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</si>
  <si>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</si>
  <si>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</si>
  <si>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</si>
  <si>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</si>
  <si>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</si>
  <si>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</si>
  <si>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</si>
  <si>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</si>
  <si>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</si>
  <si>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</si>
  <si>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</si>
  <si>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</si>
  <si>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</si>
  <si>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</si>
  <si>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</si>
  <si>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</si>
  <si>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</si>
  <si>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</si>
  <si>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</si>
  <si>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</si>
  <si>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</si>
  <si>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</si>
  <si>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</si>
  <si>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</si>
  <si>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</si>
  <si>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</si>
  <si>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</si>
  <si>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</si>
  <si>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</si>
  <si>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</si>
  <si>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</si>
  <si>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</si>
  <si>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</si>
  <si>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</si>
  <si>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</si>
  <si>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</si>
  <si>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</si>
  <si>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</si>
  <si>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</si>
  <si>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</si>
  <si>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</si>
  <si>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</si>
  <si>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</si>
  <si>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</si>
  <si>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</si>
  <si>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</si>
  <si>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</si>
  <si>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</si>
  <si>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</si>
  <si>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</si>
  <si>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</si>
  <si>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</si>
  <si>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</si>
  <si>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</si>
  <si>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</si>
  <si>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</si>
  <si>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</si>
  <si>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</si>
  <si>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</si>
  <si>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</si>
  <si>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</si>
  <si>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</si>
  <si>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</si>
  <si>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</si>
  <si>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</si>
  <si>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</si>
  <si>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</si>
  <si>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</si>
  <si>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</si>
  <si>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</si>
  <si>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</si>
  <si>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</si>
  <si>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</si>
  <si>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</si>
  <si>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</si>
  <si>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</si>
  <si>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</si>
  <si>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</si>
  <si>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</si>
  <si>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</si>
  <si>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</si>
  <si>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</si>
  <si>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</si>
  <si>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</si>
  <si>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</si>
  <si>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</si>
  <si>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</si>
  <si>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</si>
  <si>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</si>
  <si>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</si>
  <si>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</si>
  <si>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</si>
  <si>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</si>
  <si>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</si>
  <si>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</si>
  <si>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</si>
  <si>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</si>
  <si>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</si>
  <si>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</si>
  <si>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</si>
  <si>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</si>
  <si>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</si>
  <si>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</si>
  <si>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</si>
  <si>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</si>
  <si>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</si>
  <si>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</si>
  <si>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</si>
  <si>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</si>
  <si>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</si>
  <si>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</si>
  <si>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</si>
  <si>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</si>
  <si>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</si>
  <si>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</si>
  <si>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</si>
  <si>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</si>
  <si>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</si>
  <si>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</si>
  <si>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</si>
  <si>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</si>
  <si>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</si>
  <si>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</si>
  <si>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</si>
  <si>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</si>
  <si>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</si>
  <si>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</si>
  <si>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</si>
  <si>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</si>
  <si>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</si>
  <si>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</si>
  <si>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</si>
  <si>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</si>
  <si>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</si>
  <si>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</si>
  <si>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</si>
  <si>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</si>
  <si>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</si>
  <si>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</si>
  <si>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</si>
  <si>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</si>
  <si>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</si>
  <si>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</si>
  <si>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</si>
  <si>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</si>
  <si>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</si>
  <si>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</si>
  <si>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</si>
  <si>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</si>
  <si>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</si>
  <si>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</si>
  <si>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</si>
  <si>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</si>
  <si>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</si>
  <si>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</si>
  <si>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</si>
  <si>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</si>
  <si>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</si>
  <si>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</si>
  <si>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</si>
  <si>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</si>
  <si>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</si>
  <si>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</si>
  <si>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</si>
  <si>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</si>
  <si>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</si>
  <si>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</si>
  <si>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</si>
  <si>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</si>
  <si>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</si>
  <si>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</si>
  <si>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</si>
  <si>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</si>
  <si>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</si>
  <si>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</si>
  <si>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</si>
  <si>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</si>
  <si>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</si>
  <si>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</si>
  <si>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</si>
  <si>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</si>
  <si>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</si>
  <si>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</si>
  <si>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</si>
  <si>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</si>
  <si>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</si>
  <si>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</si>
  <si>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</si>
  <si>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</si>
  <si>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</si>
  <si>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</si>
  <si>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</si>
  <si>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</si>
  <si>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</si>
  <si>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</si>
  <si>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</si>
  <si>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</si>
  <si>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</si>
  <si>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</si>
  <si>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</si>
  <si>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</si>
  <si>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</si>
  <si>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</si>
  <si>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</si>
  <si>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</si>
  <si>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</si>
  <si>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</si>
  <si>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</si>
  <si>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</si>
  <si>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</si>
  <si>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</si>
  <si>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</si>
  <si>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</si>
  <si>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</si>
  <si>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</si>
  <si>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</si>
  <si>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</si>
  <si>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</si>
  <si>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</si>
  <si>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</si>
  <si>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</si>
  <si>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</si>
  <si>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</si>
  <si>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</si>
  <si>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</si>
  <si>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</si>
  <si>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</si>
  <si>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</si>
  <si>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</si>
  <si>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</si>
  <si>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</si>
  <si>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</si>
  <si>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</si>
  <si>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</si>
  <si>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</si>
  <si>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</si>
  <si>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</si>
  <si>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</si>
  <si>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</si>
  <si>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</si>
  <si>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</si>
  <si>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</si>
  <si>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</si>
  <si>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</si>
  <si>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</si>
  <si>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</si>
  <si>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</si>
  <si>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</si>
  <si>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</si>
  <si>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</si>
  <si>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</si>
  <si>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</si>
  <si>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</si>
  <si>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</si>
  <si>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</si>
  <si>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</si>
  <si>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</si>
  <si>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</si>
  <si>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</si>
  <si>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</si>
  <si>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</si>
  <si>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</si>
  <si>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</si>
  <si>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</si>
  <si>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</si>
  <si>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</si>
  <si>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</si>
  <si>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</si>
  <si>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</si>
  <si>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</si>
  <si>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</si>
  <si>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</si>
  <si>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</si>
  <si>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</si>
  <si>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</si>
  <si>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</si>
  <si>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</si>
  <si>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</si>
  <si>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</si>
  <si>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</si>
  <si>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</si>
  <si>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</si>
  <si>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</si>
  <si>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</si>
  <si>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</si>
  <si>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</si>
  <si>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</si>
  <si>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</si>
  <si>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</si>
  <si>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</si>
  <si>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</si>
  <si>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</si>
  <si>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</si>
  <si>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</si>
  <si>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</si>
  <si>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</si>
  <si>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</si>
  <si>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</si>
  <si>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</si>
  <si>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</si>
  <si>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</si>
  <si>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</si>
  <si>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</si>
  <si>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</si>
  <si>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</si>
  <si>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</si>
  <si>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</si>
  <si>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</si>
  <si>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</si>
  <si>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</si>
  <si>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</si>
  <si>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</si>
  <si>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</si>
  <si>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</si>
  <si>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</si>
  <si>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</si>
  <si>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</si>
  <si>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</si>
  <si>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</si>
  <si>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</si>
  <si>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</si>
  <si>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</si>
  <si>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</si>
  <si>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</si>
  <si>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</si>
  <si>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</si>
  <si>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</si>
  <si>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</si>
  <si>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</si>
  <si>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</si>
  <si>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</si>
  <si>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</si>
  <si>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</si>
  <si>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</si>
  <si>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</si>
  <si>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</si>
  <si>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</si>
  <si>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</si>
  <si>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</si>
  <si>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</si>
  <si>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</si>
  <si>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</si>
  <si>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</si>
  <si>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</si>
  <si>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</si>
  <si>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</si>
  <si>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</si>
  <si>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</si>
  <si>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</si>
  <si>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</si>
  <si>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</si>
  <si>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</si>
  <si>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</si>
  <si>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</si>
  <si>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</si>
  <si>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</si>
  <si>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</si>
  <si>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</si>
  <si>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</si>
  <si>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</si>
  <si>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</si>
  <si>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</si>
  <si>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</si>
  <si>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</si>
  <si>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</si>
  <si>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</si>
  <si>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</si>
  <si>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</si>
  <si>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</si>
  <si>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</si>
  <si>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</si>
  <si>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</si>
  <si>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</si>
  <si>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</si>
  <si>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</si>
  <si>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</si>
  <si>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</si>
  <si>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</si>
  <si>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</si>
  <si>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</si>
  <si>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</si>
  <si>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</si>
  <si>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</si>
  <si>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</si>
  <si>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</si>
  <si>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</si>
  <si>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</si>
  <si>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</si>
  <si>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</si>
  <si>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</si>
  <si>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</si>
  <si>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</si>
  <si>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</si>
  <si>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</si>
  <si>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</si>
  <si>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</si>
  <si>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</si>
  <si>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</si>
  <si>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</si>
  <si>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</si>
  <si>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</si>
  <si>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</si>
  <si>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</si>
  <si>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</si>
  <si>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</si>
  <si>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</si>
  <si>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</si>
  <si>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</si>
  <si>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</si>
  <si>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</si>
  <si>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</si>
  <si>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</si>
  <si>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</si>
  <si>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</si>
  <si>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</si>
  <si>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</si>
  <si>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</si>
  <si>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</si>
  <si>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</si>
  <si>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</si>
  <si>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</si>
  <si>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</si>
  <si>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</si>
  <si>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</si>
  <si>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</si>
  <si>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</si>
  <si>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</si>
  <si>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</si>
  <si>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</si>
  <si>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</si>
  <si>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</si>
  <si>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</si>
  <si>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</si>
  <si>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</si>
  <si>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</si>
  <si>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</si>
  <si>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</si>
  <si>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</si>
  <si>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</si>
  <si>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</si>
  <si>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</si>
  <si>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</si>
  <si>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</si>
  <si>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</si>
  <si>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</si>
  <si>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</si>
  <si>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</si>
  <si>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</si>
  <si>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</si>
  <si>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</si>
  <si>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</si>
  <si>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</si>
  <si>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</si>
  <si>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</si>
  <si>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</si>
  <si>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</si>
  <si>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</si>
  <si>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</si>
  <si>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</si>
  <si>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</si>
  <si>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</si>
  <si>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</si>
  <si>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</si>
  <si>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</si>
  <si>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</si>
  <si>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</si>
  <si>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</si>
  <si>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</si>
  <si>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</si>
  <si>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</si>
  <si>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</si>
  <si>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</si>
  <si>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</si>
  <si>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</si>
  <si>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</si>
  <si>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</si>
  <si>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</si>
  <si>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</si>
  <si>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</si>
  <si>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</si>
  <si>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</si>
  <si>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</si>
  <si>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</si>
  <si>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</si>
  <si>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</si>
  <si>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</si>
  <si>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</si>
  <si>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</si>
  <si>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</si>
  <si>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</si>
  <si>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</si>
  <si>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</si>
  <si>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</si>
  <si>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</si>
  <si>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</si>
  <si>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</si>
  <si>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</si>
  <si>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</si>
  <si>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</si>
  <si>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</si>
  <si>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</si>
  <si>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</si>
  <si>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</si>
  <si>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</si>
  <si>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</si>
  <si>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</si>
  <si>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</si>
  <si>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</si>
  <si>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</si>
  <si>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</si>
  <si>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</si>
  <si>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</si>
  <si>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</si>
  <si>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</si>
  <si>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</si>
  <si>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</si>
  <si>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</si>
  <si>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</si>
  <si>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</si>
  <si>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</si>
  <si>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</si>
  <si>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</si>
  <si>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</si>
  <si>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</si>
  <si>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</si>
  <si>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</si>
  <si>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</si>
  <si>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</si>
  <si>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</si>
  <si>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</si>
  <si>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</si>
  <si>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</si>
  <si>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</si>
  <si>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</si>
  <si>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</si>
  <si>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</si>
  <si>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</si>
  <si>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</si>
  <si>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</si>
  <si>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</si>
  <si>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</si>
  <si>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</si>
  <si>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</si>
  <si>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</si>
  <si>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</si>
  <si>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</si>
  <si>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</si>
  <si>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</si>
  <si>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</si>
  <si>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</si>
  <si>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</si>
  <si>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</si>
  <si>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</si>
  <si>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</si>
  <si>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</si>
  <si>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</si>
  <si>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</si>
  <si>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</si>
  <si>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</si>
  <si>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</si>
  <si>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</si>
  <si>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</si>
  <si>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</si>
  <si>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</si>
  <si>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</si>
  <si>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</si>
  <si>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</si>
  <si>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</si>
  <si>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</si>
  <si>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</si>
  <si>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</si>
  <si>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</si>
  <si>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</si>
  <si>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</si>
  <si>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</si>
  <si>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</si>
  <si>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</si>
  <si>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</si>
  <si>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</si>
  <si>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</si>
  <si>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</si>
  <si>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</si>
  <si>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</si>
  <si>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</si>
  <si>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</si>
  <si>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</si>
  <si>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</si>
  <si>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</si>
  <si>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</si>
  <si>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</si>
  <si>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</si>
  <si>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</si>
  <si>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</si>
  <si>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</si>
  <si>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</si>
  <si>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</si>
  <si>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</si>
  <si>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</si>
  <si>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</si>
  <si>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</si>
  <si>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</si>
  <si>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</si>
  <si>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</si>
  <si>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</si>
  <si>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</si>
  <si>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</si>
  <si>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</si>
  <si>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</si>
  <si>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</si>
  <si>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</si>
  <si>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</si>
  <si>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</si>
  <si>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</si>
  <si>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</si>
  <si>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</si>
  <si>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</si>
  <si>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</si>
  <si>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</si>
  <si>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</si>
  <si>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</si>
  <si>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</si>
  <si>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</si>
  <si>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</si>
  <si>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</si>
  <si>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</si>
  <si>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</si>
  <si>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</si>
  <si>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</si>
  <si>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</si>
  <si>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</si>
  <si>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</si>
  <si>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</si>
  <si>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</si>
  <si>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</si>
  <si>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</si>
  <si>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</si>
  <si>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</si>
  <si>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</si>
  <si>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</si>
  <si>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</si>
  <si>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</si>
  <si>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</si>
  <si>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</si>
  <si>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</si>
  <si>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</si>
  <si>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</si>
  <si>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</si>
  <si>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</si>
  <si>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</si>
  <si>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</si>
  <si>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</si>
  <si>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</si>
  <si>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</si>
  <si>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</si>
  <si>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</si>
  <si>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</si>
  <si>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</si>
  <si>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</si>
  <si>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</si>
  <si>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</si>
  <si>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</si>
  <si>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</si>
  <si>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</si>
  <si>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</si>
  <si>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</si>
  <si>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</si>
  <si>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</si>
  <si>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</si>
  <si>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</si>
  <si>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</si>
  <si>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</si>
  <si>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</si>
  <si>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</si>
  <si>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</si>
  <si>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</si>
  <si>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</si>
  <si>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</si>
  <si>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</si>
  <si>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</si>
  <si>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</si>
  <si>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</si>
  <si>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</si>
  <si>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</si>
  <si>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</si>
  <si>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</si>
  <si>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</si>
  <si>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</si>
  <si>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</si>
  <si>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</si>
  <si>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</si>
  <si>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</si>
  <si>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</si>
  <si>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</si>
  <si>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</si>
  <si>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</si>
  <si>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</si>
  <si>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</si>
  <si>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</si>
  <si>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</si>
  <si>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</si>
  <si>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</si>
  <si>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</si>
  <si>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</si>
  <si>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</si>
  <si>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</si>
  <si>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</si>
  <si>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</si>
  <si>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</si>
  <si>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</si>
  <si>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</si>
  <si>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</si>
  <si>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</si>
  <si>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</si>
  <si>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</si>
  <si>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</si>
  <si>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</si>
  <si>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</si>
  <si>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</si>
  <si>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</si>
  <si>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</si>
  <si>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</si>
  <si>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</si>
  <si>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</si>
  <si>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</si>
  <si>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</si>
  <si>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</si>
  <si>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</si>
  <si>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</si>
  <si>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</si>
  <si>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</si>
  <si>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</si>
  <si>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</si>
  <si>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</si>
  <si>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</si>
  <si>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</si>
  <si>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</si>
  <si>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</si>
  <si>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</si>
  <si>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</si>
  <si>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</si>
  <si>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</si>
  <si>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</si>
  <si>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</si>
  <si>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</si>
  <si>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</si>
  <si>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</si>
  <si>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</si>
  <si>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</si>
  <si>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</si>
  <si>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</si>
  <si>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</si>
  <si>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</si>
  <si>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</si>
  <si>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</si>
  <si>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</si>
  <si>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</si>
  <si>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</si>
  <si>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</si>
  <si>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</si>
  <si>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</si>
  <si>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</si>
  <si>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</si>
  <si>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</si>
  <si>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</si>
  <si>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</si>
  <si>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</si>
  <si>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</si>
  <si>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</si>
  <si>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</si>
  <si>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</si>
  <si>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</si>
  <si>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</si>
  <si>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</si>
  <si>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</si>
  <si>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</si>
  <si>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</si>
  <si>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</si>
  <si>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</si>
  <si>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</si>
  <si>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</si>
  <si>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</si>
  <si>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</si>
  <si>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</si>
  <si>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</si>
  <si>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</si>
  <si>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</si>
  <si>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</si>
  <si>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</si>
  <si>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</si>
  <si>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</si>
  <si>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</si>
  <si>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</si>
  <si>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</si>
  <si>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</si>
  <si>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</si>
  <si>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</si>
  <si>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</si>
  <si>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</si>
  <si>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</si>
  <si>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</si>
  <si>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</si>
  <si>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</si>
  <si>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</si>
  <si>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</si>
  <si>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</si>
  <si>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</si>
  <si>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</si>
  <si>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</si>
  <si>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</si>
  <si>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</si>
  <si>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</si>
  <si>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</si>
  <si>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</si>
  <si>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</si>
  <si>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</si>
  <si>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</si>
  <si>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</si>
  <si>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</si>
  <si>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</si>
  <si>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</si>
  <si>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</si>
  <si>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</si>
  <si>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</si>
  <si>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</si>
  <si>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</si>
  <si>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</si>
  <si>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</si>
  <si>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</si>
  <si>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</si>
  <si>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</si>
  <si>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</si>
  <si>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</si>
  <si>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</si>
  <si>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</si>
  <si>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</si>
  <si>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</si>
  <si>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</si>
  <si>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</si>
  <si>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</si>
  <si>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</si>
  <si>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</si>
  <si>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</si>
  <si>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</si>
  <si>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</si>
  <si>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</si>
  <si>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</si>
  <si>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</si>
  <si>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</si>
  <si>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</si>
  <si>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</si>
  <si>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</si>
  <si>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</si>
  <si>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</si>
  <si>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</si>
  <si>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</si>
  <si>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</si>
  <si>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</si>
  <si>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</si>
  <si>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</si>
  <si>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</si>
  <si>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</si>
  <si>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</si>
  <si>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</si>
  <si>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</si>
  <si>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</si>
  <si>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</si>
  <si>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</si>
  <si>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</si>
  <si>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</si>
  <si>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</si>
  <si>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</si>
  <si>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</si>
  <si>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</si>
  <si>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</si>
  <si>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</si>
  <si>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</si>
  <si>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</si>
  <si>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</si>
  <si>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</si>
  <si>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</si>
  <si>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</si>
  <si>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</si>
  <si>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</si>
  <si>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</si>
  <si>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</si>
  <si>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</si>
  <si>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</si>
  <si>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</si>
  <si>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</si>
  <si>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</si>
  <si>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</si>
  <si>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</si>
  <si>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</si>
  <si>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</si>
  <si>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</si>
  <si>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</si>
  <si>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</si>
  <si>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</si>
  <si>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</si>
  <si>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</si>
  <si>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</si>
  <si>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</si>
  <si>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</si>
  <si>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</si>
  <si>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</si>
  <si>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</si>
  <si>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</si>
  <si>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</si>
  <si>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</si>
  <si>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</si>
  <si>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</si>
  <si>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</si>
  <si>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</si>
  <si>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</si>
  <si>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</si>
  <si>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</si>
  <si>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</si>
  <si>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</si>
  <si>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</si>
  <si>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</si>
  <si>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</si>
  <si>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</si>
  <si>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</si>
  <si>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</si>
  <si>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</si>
  <si>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</si>
  <si>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</si>
  <si>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</si>
  <si>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</si>
  <si>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</si>
  <si>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</si>
  <si>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</si>
  <si>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</si>
  <si>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</si>
  <si>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</si>
  <si>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</si>
  <si>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</si>
  <si>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</si>
  <si>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</si>
  <si>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</si>
  <si>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</si>
  <si>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</si>
  <si>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</si>
  <si>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</si>
  <si>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</si>
  <si>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</si>
  <si>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</si>
  <si>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</si>
  <si>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</si>
  <si>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</si>
  <si>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</si>
  <si>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</si>
  <si>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</si>
  <si>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</si>
  <si>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</si>
  <si>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</si>
  <si>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</si>
  <si>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</si>
  <si>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</si>
  <si>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</si>
  <si>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</si>
  <si>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</si>
  <si>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</si>
  <si>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</si>
  <si>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</si>
  <si>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</si>
  <si>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</si>
  <si>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</si>
  <si>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</si>
  <si>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</si>
  <si>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</si>
  <si>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</si>
  <si>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</si>
  <si>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</si>
  <si>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</si>
  <si>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</si>
  <si>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</si>
  <si>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</si>
  <si>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</si>
  <si>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</si>
  <si>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</si>
  <si>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</si>
  <si>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</si>
  <si>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</si>
  <si>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</si>
  <si>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</si>
  <si>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</si>
  <si>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</si>
  <si>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</si>
  <si>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</si>
  <si>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</si>
  <si>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</si>
  <si>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</si>
  <si>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</si>
  <si>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</si>
  <si>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</si>
  <si>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</si>
  <si>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</si>
  <si>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</si>
  <si>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</si>
  <si>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</si>
  <si>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</si>
  <si>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</si>
  <si>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</si>
  <si>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</si>
  <si>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</si>
  <si>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</si>
  <si>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</si>
  <si>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</si>
  <si>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</si>
  <si>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</si>
  <si>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</si>
  <si>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</si>
  <si>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</si>
  <si>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</si>
  <si>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</si>
  <si>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</si>
  <si>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</si>
  <si>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</si>
  <si>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</si>
  <si>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</si>
  <si>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</si>
  <si>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</si>
  <si>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</si>
  <si>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</si>
  <si>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</si>
  <si>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</si>
  <si>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</si>
  <si>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</si>
  <si>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</si>
  <si>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</si>
  <si>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</si>
  <si>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</si>
  <si>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</si>
  <si>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</si>
  <si>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</si>
  <si>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</si>
  <si>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</si>
  <si>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</si>
  <si>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</si>
  <si>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</si>
  <si>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</si>
  <si>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</si>
  <si>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</si>
  <si>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</si>
  <si>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</si>
  <si>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</si>
  <si>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</si>
  <si>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</si>
  <si>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</si>
  <si>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</si>
  <si>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</si>
  <si>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</si>
  <si>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</si>
  <si>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</si>
  <si>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</si>
  <si>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</si>
  <si>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</si>
  <si>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</si>
  <si>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</si>
  <si>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</si>
  <si>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</si>
  <si>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</si>
  <si>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</si>
  <si>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</si>
  <si>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</si>
  <si>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</si>
  <si>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</si>
  <si>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</si>
  <si>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</si>
  <si>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</si>
  <si>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</si>
  <si>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</si>
  <si>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</si>
  <si>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</si>
  <si>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</si>
  <si>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</si>
  <si>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</si>
  <si>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</si>
  <si>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</si>
  <si>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</si>
  <si>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</si>
  <si>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</si>
  <si>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</si>
  <si>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</si>
  <si>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</si>
  <si>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</si>
  <si>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</si>
  <si>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</si>
  <si>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</si>
  <si>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</si>
  <si>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</si>
  <si>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</si>
  <si>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</si>
  <si>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</si>
  <si>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</si>
  <si>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</si>
  <si>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</si>
  <si>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</si>
  <si>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</si>
  <si>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</si>
  <si>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</si>
  <si>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</si>
  <si>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</si>
  <si>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</si>
  <si>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</si>
  <si>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</si>
  <si>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</si>
  <si>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</si>
  <si>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</si>
  <si>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</si>
  <si>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</si>
  <si>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</si>
  <si>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</si>
  <si>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</si>
  <si>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</si>
  <si>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</si>
  <si>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</si>
  <si>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</si>
  <si>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</si>
  <si>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</si>
  <si>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</si>
  <si>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</si>
  <si>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</si>
  <si>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</si>
  <si>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</si>
  <si>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</si>
  <si>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</si>
  <si>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</si>
  <si>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</si>
  <si>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</si>
  <si>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</si>
  <si>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</si>
  <si>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</si>
  <si>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</si>
  <si>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</si>
  <si>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</si>
  <si>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</si>
  <si>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</si>
  <si>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</si>
  <si>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</si>
  <si>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</si>
  <si>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</si>
  <si>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</si>
  <si>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</si>
  <si>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</si>
  <si>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</si>
  <si>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</si>
  <si>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</si>
  <si>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</si>
  <si>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</si>
  <si>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</si>
  <si>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</si>
  <si>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</si>
  <si>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</si>
  <si>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</si>
  <si>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</si>
  <si>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</si>
  <si>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</si>
  <si>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</si>
  <si>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</si>
  <si>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</si>
  <si>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</si>
  <si>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</si>
  <si>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</si>
  <si>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</si>
  <si>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</si>
  <si>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</si>
  <si>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</si>
  <si>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</si>
  <si>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</si>
  <si>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</si>
  <si>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</si>
  <si>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</si>
  <si>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</si>
  <si>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</si>
  <si>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</si>
  <si>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</si>
  <si>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</si>
  <si>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</si>
  <si>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</si>
  <si>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</si>
  <si>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</si>
  <si>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</si>
  <si>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</si>
  <si>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</si>
  <si>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</si>
  <si>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</si>
  <si>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</si>
  <si>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</si>
  <si>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</si>
  <si>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</si>
  <si>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</si>
  <si>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</si>
  <si>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</si>
  <si>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</si>
  <si>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</si>
  <si>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</si>
  <si>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</si>
  <si>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</si>
  <si>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</si>
  <si>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</si>
  <si>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</si>
  <si>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</si>
  <si>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</si>
  <si>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</si>
  <si>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</si>
  <si>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</si>
  <si>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</si>
  <si>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</si>
  <si>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</si>
  <si>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</si>
  <si>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</si>
  <si>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</si>
  <si>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</si>
  <si>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</si>
  <si>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</si>
  <si>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</si>
  <si>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</si>
  <si>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</si>
  <si>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</si>
  <si>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</si>
  <si>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</si>
  <si>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</si>
  <si>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</si>
  <si>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</si>
  <si>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</si>
  <si>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</si>
  <si>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</si>
  <si>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</si>
  <si>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</si>
  <si>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</si>
  <si>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</si>
  <si>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</si>
  <si>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</si>
  <si>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</si>
  <si>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</si>
  <si>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</si>
  <si>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</si>
  <si>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</si>
  <si>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</si>
  <si>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</si>
  <si>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</si>
  <si>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</si>
  <si>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</si>
  <si>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</si>
  <si>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</si>
  <si>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</si>
  <si>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</si>
  <si>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</si>
  <si>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</si>
  <si>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</si>
  <si>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</si>
  <si>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</si>
  <si>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</si>
  <si>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</si>
  <si>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</si>
  <si>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</si>
  <si>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</si>
  <si>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</si>
  <si>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</si>
  <si>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</si>
  <si>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</si>
  <si>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</si>
  <si>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</si>
  <si>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</si>
  <si>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</si>
  <si>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</si>
  <si>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</si>
  <si>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</si>
  <si>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</si>
  <si>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</si>
  <si>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</si>
  <si>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</si>
  <si>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</si>
  <si>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</si>
  <si>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</si>
  <si>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</si>
  <si>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</si>
  <si>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</si>
  <si>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</si>
  <si>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</si>
  <si>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</si>
  <si>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</si>
  <si>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</si>
  <si>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</si>
  <si>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</si>
  <si>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</si>
  <si>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</si>
  <si>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</si>
  <si>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</si>
  <si>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</si>
  <si>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</si>
  <si>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</si>
  <si>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</si>
  <si>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</si>
  <si>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</si>
  <si>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</si>
  <si>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</si>
  <si>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</si>
  <si>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</si>
  <si>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</si>
  <si>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</si>
  <si>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</si>
  <si>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</si>
  <si>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</si>
  <si>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</si>
  <si>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</si>
  <si>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</si>
  <si>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</si>
  <si>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</si>
  <si>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</si>
  <si>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</si>
  <si>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</si>
  <si>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</si>
  <si>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</si>
  <si>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</si>
  <si>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</si>
  <si>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</si>
  <si>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</si>
  <si>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</si>
  <si>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</si>
  <si>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</si>
  <si>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</si>
  <si>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</si>
  <si>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</si>
  <si>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</si>
  <si>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</si>
  <si>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</si>
  <si>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</si>
  <si>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</si>
  <si>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</si>
  <si>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</si>
  <si>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</si>
  <si>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</si>
  <si>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</si>
  <si>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</si>
  <si>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</si>
  <si>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</si>
  <si>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</si>
  <si>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</si>
  <si>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</si>
  <si>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</si>
  <si>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</si>
  <si>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</si>
  <si>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</si>
  <si>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</si>
  <si>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</si>
  <si>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</si>
  <si>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</si>
  <si>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</si>
  <si>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</si>
  <si>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</si>
  <si>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</si>
  <si>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</si>
  <si>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</si>
  <si>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</si>
  <si>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</si>
  <si>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</si>
  <si>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</si>
  <si>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</si>
  <si>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</si>
  <si>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</si>
  <si>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</si>
  <si>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</si>
  <si>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</si>
  <si>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</si>
  <si>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</si>
  <si>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</si>
  <si>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</si>
  <si>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</si>
  <si>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</si>
  <si>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</si>
  <si>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</si>
  <si>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</si>
  <si>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</si>
  <si>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</si>
  <si>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</si>
  <si>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</si>
  <si>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</si>
  <si>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</si>
  <si>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</si>
  <si>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</si>
  <si>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</si>
  <si>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</si>
  <si>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</si>
  <si>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</si>
  <si>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</si>
  <si>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</si>
  <si>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</si>
  <si>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</si>
  <si>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</si>
  <si>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</si>
  <si>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</si>
  <si>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</si>
  <si>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</si>
  <si>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</si>
  <si>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</si>
  <si>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</si>
  <si>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</si>
  <si>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</si>
  <si>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</si>
  <si>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</si>
  <si>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</si>
  <si>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</si>
  <si>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</si>
  <si>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</si>
  <si>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</si>
  <si>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</si>
  <si>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</si>
  <si>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</si>
  <si>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</si>
  <si>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</si>
  <si>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</si>
  <si>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</si>
  <si>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</si>
  <si>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</si>
  <si>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</si>
  <si>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</si>
  <si>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</si>
  <si>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</si>
  <si>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</si>
  <si>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</si>
  <si>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</si>
  <si>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</si>
  <si>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</si>
  <si>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</si>
  <si>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</si>
  <si>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</si>
  <si>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</si>
  <si>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</si>
  <si>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</si>
  <si>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</si>
  <si>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</si>
  <si>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</si>
  <si>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</si>
  <si>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</si>
  <si>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</si>
  <si>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</si>
  <si>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</si>
  <si>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</si>
  <si>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</si>
  <si>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</si>
  <si>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</si>
  <si>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</si>
  <si>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</si>
  <si>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</si>
  <si>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</si>
  <si>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</si>
  <si>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</si>
  <si>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</si>
  <si>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</si>
  <si>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</si>
  <si>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</si>
  <si>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</si>
  <si>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</si>
  <si>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</si>
  <si>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</si>
  <si>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</si>
  <si>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</si>
  <si>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</si>
  <si>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</si>
  <si>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</si>
  <si>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</si>
  <si>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</si>
  <si>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</si>
  <si>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</si>
  <si>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</si>
  <si>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</si>
  <si>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</si>
  <si>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</si>
  <si>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</si>
  <si>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</si>
  <si>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</si>
  <si>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</si>
  <si>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</si>
  <si>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</si>
  <si>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</si>
  <si>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</si>
  <si>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</si>
  <si>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</si>
  <si>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</si>
  <si>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</si>
  <si>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</si>
  <si>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</si>
  <si>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</si>
  <si>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</si>
  <si>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</si>
  <si>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</si>
  <si>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</si>
  <si>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</si>
  <si>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</si>
  <si>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</si>
  <si>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</si>
  <si>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</si>
  <si>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</si>
  <si>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</si>
  <si>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</si>
  <si>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</si>
  <si>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</si>
  <si>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</si>
  <si>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</si>
  <si>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</si>
  <si>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</si>
  <si>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</si>
  <si>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</si>
  <si>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</si>
  <si>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</si>
  <si>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</si>
  <si>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</si>
  <si>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</si>
  <si>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</si>
  <si>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</si>
  <si>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</si>
  <si>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</si>
  <si>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</si>
  <si>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</si>
  <si>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</si>
  <si>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</si>
  <si>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</si>
  <si>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</si>
  <si>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</si>
  <si>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</si>
  <si>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</si>
  <si>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</si>
  <si>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</si>
  <si>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</si>
  <si>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</si>
  <si>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</si>
  <si>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</si>
  <si>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</si>
  <si>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</si>
  <si>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</si>
  <si>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</si>
  <si>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</si>
  <si>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</si>
  <si>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</si>
  <si>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</si>
  <si>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</si>
  <si>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</si>
  <si>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</si>
  <si>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</si>
  <si>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</si>
  <si>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</si>
  <si>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</si>
  <si>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</si>
  <si>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</si>
  <si>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</si>
  <si>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</si>
  <si>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</si>
  <si>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</si>
  <si>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</si>
  <si>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</si>
  <si>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</si>
  <si>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</si>
  <si>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</si>
  <si>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</si>
  <si>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</si>
  <si>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</si>
  <si>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</si>
  <si>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</si>
  <si>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</si>
  <si>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</si>
  <si>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</si>
  <si>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</si>
  <si>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</si>
  <si>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</si>
  <si>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</si>
  <si>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</si>
  <si>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</si>
  <si>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</si>
  <si>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</si>
  <si>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</si>
  <si>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</si>
  <si>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</si>
  <si>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</si>
  <si>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</si>
  <si>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</si>
  <si>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</si>
  <si>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</si>
  <si>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</si>
  <si>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</si>
  <si>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</si>
  <si>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</si>
  <si>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</si>
  <si>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</si>
  <si>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</si>
  <si>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</si>
  <si>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</si>
  <si>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</si>
  <si>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</si>
  <si>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</si>
  <si>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</si>
  <si>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</si>
  <si>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</si>
  <si>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</si>
  <si>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</si>
  <si>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</si>
  <si>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</si>
  <si>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</si>
  <si>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</si>
  <si>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</si>
  <si>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</si>
  <si>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</si>
  <si>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</si>
  <si>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</si>
  <si>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</si>
  <si>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</si>
  <si>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</si>
  <si>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</si>
  <si>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</si>
  <si>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</si>
  <si>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</si>
  <si>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</si>
  <si>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</si>
  <si>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</si>
  <si>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</si>
  <si>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</si>
  <si>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</si>
  <si>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</si>
  <si>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</si>
  <si>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</si>
  <si>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</si>
  <si>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</si>
  <si>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</si>
  <si>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</si>
  <si>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</si>
  <si>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</si>
  <si>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</si>
  <si>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</si>
  <si>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</si>
  <si>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</si>
  <si>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</si>
  <si>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</si>
  <si>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</si>
  <si>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</si>
  <si>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</si>
  <si>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</si>
  <si>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</si>
  <si>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</si>
  <si>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</si>
  <si>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</si>
  <si>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</si>
  <si>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</si>
  <si>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</si>
  <si>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</si>
  <si>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</si>
  <si>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</si>
  <si>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</si>
  <si>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</si>
  <si>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</si>
  <si>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</si>
  <si>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</si>
  <si>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</si>
  <si>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</si>
  <si>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</si>
  <si>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</si>
  <si>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</si>
  <si>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</si>
  <si>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</si>
  <si>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</si>
  <si>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</si>
  <si>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</si>
  <si>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</si>
  <si>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</si>
  <si>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</si>
  <si>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</si>
  <si>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</si>
  <si>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</si>
  <si>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</si>
  <si>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</si>
  <si>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</si>
  <si>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</si>
  <si>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</si>
  <si>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</si>
  <si>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</si>
  <si>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</si>
  <si>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</si>
  <si>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</si>
  <si>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</si>
  <si>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</si>
  <si>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</si>
  <si>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</si>
  <si>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</si>
  <si>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</si>
  <si>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</si>
  <si>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</si>
  <si>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</si>
  <si>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</si>
  <si>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</si>
  <si>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</si>
  <si>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</si>
  <si>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</si>
  <si>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</si>
  <si>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</si>
  <si>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</si>
  <si>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</si>
  <si>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</si>
  <si>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</si>
  <si>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</si>
  <si>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</si>
  <si>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</si>
  <si>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</si>
  <si>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</si>
  <si>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</si>
  <si>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</si>
  <si>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</si>
  <si>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</si>
  <si>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</si>
  <si>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</si>
  <si>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</si>
  <si>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</si>
  <si>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</si>
  <si>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</si>
  <si>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</si>
  <si>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</si>
  <si>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</si>
  <si>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</si>
  <si>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</si>
  <si>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</si>
  <si>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</si>
  <si>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</si>
  <si>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</si>
  <si>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</si>
  <si>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</si>
  <si>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</si>
  <si>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</si>
  <si>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</si>
  <si>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</si>
  <si>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</si>
  <si>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</si>
  <si>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</si>
  <si>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</si>
  <si>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</si>
  <si>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</si>
  <si>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</si>
  <si>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</si>
  <si>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</si>
  <si>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</si>
  <si>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</si>
  <si>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</si>
  <si>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</si>
  <si>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</si>
  <si>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</si>
  <si>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</si>
  <si>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</si>
  <si>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</si>
  <si>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</si>
  <si>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</si>
  <si>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</si>
  <si>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</si>
  <si>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</si>
  <si>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</si>
  <si>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</si>
  <si>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</si>
  <si>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</si>
  <si>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</si>
  <si>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</si>
  <si>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</si>
  <si>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</si>
  <si>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</si>
  <si>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</si>
  <si>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</si>
  <si>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</si>
  <si>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</si>
  <si>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</si>
  <si>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</si>
  <si>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</si>
  <si>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</si>
  <si>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</si>
  <si>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</si>
  <si>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</si>
  <si>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</si>
  <si>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</si>
  <si>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</si>
  <si>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</si>
  <si>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</si>
  <si>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</si>
  <si>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</si>
  <si>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</si>
  <si>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</si>
  <si>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</si>
  <si>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</si>
  <si>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</si>
  <si>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</si>
  <si>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</si>
  <si>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</si>
  <si>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</si>
  <si>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</si>
  <si>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</si>
  <si>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</si>
  <si>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</si>
  <si>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</si>
  <si>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</si>
  <si>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</si>
  <si>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</si>
  <si>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</si>
  <si>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</si>
  <si>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</si>
  <si>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</si>
  <si>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</si>
  <si>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</si>
  <si>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</si>
  <si>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</si>
  <si>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</si>
  <si>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</si>
  <si>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</si>
  <si>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</si>
  <si>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</si>
  <si>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</si>
  <si>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</si>
  <si>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</si>
  <si>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</si>
  <si>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</si>
  <si>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</si>
  <si>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</si>
  <si>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</si>
  <si>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</si>
  <si>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</si>
  <si>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</si>
  <si>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</si>
  <si>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</si>
  <si>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</si>
  <si>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</si>
  <si>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</si>
  <si>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</si>
  <si>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</si>
  <si>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</si>
  <si>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</si>
  <si>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</si>
  <si>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</si>
  <si>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</si>
  <si>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</si>
  <si>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</si>
  <si>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</si>
  <si>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</si>
  <si>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</si>
  <si>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</si>
  <si>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</si>
  <si>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</si>
  <si>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</si>
  <si>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</si>
  <si>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</si>
  <si>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</si>
  <si>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</si>
  <si>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</si>
  <si>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</si>
  <si>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</si>
  <si>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</si>
  <si>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</si>
  <si>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</si>
  <si>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</si>
  <si>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</si>
  <si>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</si>
  <si>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</si>
  <si>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</si>
  <si>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</si>
  <si>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</si>
  <si>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</si>
  <si>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</si>
  <si>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</si>
  <si>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</si>
  <si>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</si>
  <si>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</si>
  <si>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</si>
  <si>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</si>
  <si>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</si>
  <si>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</si>
  <si>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</si>
  <si>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</si>
  <si>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</si>
  <si>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</si>
  <si>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</si>
  <si>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</si>
  <si>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</si>
  <si>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</si>
  <si>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</si>
  <si>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</si>
  <si>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</si>
  <si>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</si>
  <si>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</si>
  <si>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</si>
  <si>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</si>
  <si>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</si>
  <si>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</si>
  <si>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</si>
  <si>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</si>
  <si>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</si>
  <si>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</si>
  <si>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</si>
  <si>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</si>
  <si>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</si>
  <si>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</si>
  <si>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</si>
  <si>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</si>
  <si>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</si>
  <si>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</si>
  <si>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</si>
  <si>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</si>
  <si>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</si>
  <si>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</si>
  <si>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</si>
  <si>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</si>
  <si>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</si>
  <si>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</si>
  <si>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</si>
  <si>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</si>
  <si>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</si>
  <si>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</si>
  <si>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</si>
  <si>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</si>
  <si>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</si>
  <si>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</si>
  <si>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</si>
  <si>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</si>
  <si>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</si>
  <si>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</si>
  <si>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</si>
  <si>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</si>
  <si>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</si>
  <si>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</si>
  <si>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</si>
  <si>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</si>
  <si>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</si>
  <si>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</si>
  <si>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</si>
  <si>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</si>
  <si>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</si>
  <si>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</si>
  <si>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</si>
  <si>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</si>
  <si>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</si>
  <si>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</si>
  <si>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</si>
  <si>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</si>
  <si>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</si>
  <si>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</si>
  <si>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</si>
  <si>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</si>
  <si>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</si>
  <si>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</si>
  <si>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</si>
  <si>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</si>
  <si>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</si>
  <si>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</si>
  <si>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</si>
  <si>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</si>
  <si>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</si>
  <si>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</si>
  <si>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</si>
  <si>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</si>
  <si>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</si>
  <si>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</si>
  <si>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</si>
  <si>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</si>
  <si>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</si>
  <si>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</si>
  <si>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</si>
  <si>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</si>
  <si>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</si>
  <si>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</si>
  <si>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</si>
  <si>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</si>
  <si>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</si>
  <si>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</si>
  <si>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</si>
  <si>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</si>
  <si>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</si>
  <si>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</si>
  <si>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</si>
  <si>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</si>
  <si>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</si>
  <si>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</si>
  <si>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</si>
  <si>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</si>
  <si>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</si>
  <si>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</si>
  <si>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</si>
  <si>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</si>
  <si>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</si>
  <si>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</si>
  <si>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</si>
  <si>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</si>
  <si>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</si>
  <si>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</si>
  <si>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</si>
  <si>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</si>
  <si>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</si>
  <si>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</si>
  <si>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</si>
  <si>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</si>
  <si>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</si>
  <si>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</si>
  <si>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</si>
  <si>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</si>
  <si>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</si>
  <si>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</si>
  <si>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</si>
  <si>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</si>
  <si>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</si>
  <si>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</si>
  <si>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</si>
  <si>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</si>
  <si>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</si>
  <si>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</si>
  <si>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</si>
  <si>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</si>
  <si>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</si>
  <si>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</si>
  <si>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</si>
  <si>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</si>
  <si>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</si>
  <si>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</si>
  <si>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</si>
  <si>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</si>
  <si>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</si>
  <si>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</si>
  <si>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</si>
  <si>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</si>
  <si>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</si>
  <si>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</si>
  <si>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</si>
  <si>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</si>
  <si>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</si>
  <si>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</si>
  <si>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</si>
  <si>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</si>
  <si>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</si>
  <si>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</si>
  <si>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</si>
  <si>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</si>
  <si>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</si>
  <si>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</si>
  <si>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</si>
  <si>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</si>
  <si>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</si>
  <si>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</si>
  <si>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</si>
  <si>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</si>
  <si>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</si>
  <si>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</si>
  <si>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</si>
  <si>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</si>
  <si>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</si>
  <si>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</si>
  <si>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</si>
  <si>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</si>
  <si>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</si>
  <si>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</si>
  <si>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</si>
  <si>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</si>
  <si>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</si>
  <si>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</si>
  <si>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</si>
  <si>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</si>
  <si>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</si>
  <si>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</si>
  <si>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</si>
  <si>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</si>
  <si>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</si>
  <si>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</si>
  <si>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</si>
  <si>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</si>
  <si>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</si>
  <si>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</si>
  <si>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</si>
  <si>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</si>
  <si>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</si>
  <si>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</si>
  <si>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</si>
  <si>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</si>
  <si>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</si>
  <si>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</si>
  <si>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</si>
  <si>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</si>
  <si>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</si>
  <si>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</si>
  <si>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</si>
  <si>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</si>
  <si>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</si>
  <si>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</si>
  <si>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</si>
  <si>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</si>
  <si>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</si>
  <si>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</si>
  <si>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</si>
  <si>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</si>
  <si>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</si>
  <si>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</si>
  <si>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</si>
  <si>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</si>
  <si>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</si>
  <si>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</si>
  <si>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</si>
  <si>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</si>
  <si>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</si>
  <si>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</si>
  <si>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</si>
  <si>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</si>
  <si>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</si>
  <si>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</si>
  <si>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</si>
  <si>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</si>
  <si>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</si>
  <si>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</si>
  <si>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</si>
  <si>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</si>
  <si>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</si>
  <si>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</si>
  <si>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</si>
  <si>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</si>
  <si>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</si>
  <si>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</si>
  <si>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</si>
  <si>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</si>
  <si>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</si>
  <si>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</si>
  <si>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</si>
  <si>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</si>
  <si>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</si>
  <si>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</si>
  <si>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</si>
  <si>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</si>
  <si>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</si>
  <si>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</si>
  <si>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</si>
  <si>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</si>
  <si>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</si>
  <si>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</si>
  <si>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</si>
  <si>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</si>
  <si>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</si>
  <si>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</si>
  <si>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</si>
  <si>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</si>
  <si>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</si>
  <si>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</si>
  <si>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</si>
  <si>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</si>
  <si>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</si>
  <si>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</si>
  <si>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</si>
  <si>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</si>
  <si>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</si>
  <si>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</si>
  <si>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</si>
  <si>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</si>
  <si>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</si>
  <si>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</si>
  <si>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</si>
  <si>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</si>
  <si>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</si>
  <si>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</si>
  <si>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</si>
  <si>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</si>
  <si>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</si>
  <si>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</si>
  <si>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</si>
  <si>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</si>
  <si>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</si>
  <si>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</si>
  <si>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</si>
  <si>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</si>
  <si>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</si>
  <si>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</si>
  <si>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</si>
  <si>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</si>
  <si>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</si>
  <si>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</si>
  <si>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</si>
  <si>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</si>
  <si>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</si>
  <si>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</si>
  <si>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</si>
  <si>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</si>
  <si>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</si>
  <si>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</si>
  <si>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</si>
  <si>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</si>
  <si>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</si>
  <si>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</si>
  <si>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</si>
  <si>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</si>
  <si>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</si>
  <si>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</si>
  <si>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</si>
  <si>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</si>
  <si>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</si>
  <si>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</si>
  <si>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</si>
  <si>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</si>
  <si>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</si>
  <si>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</si>
  <si>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</si>
  <si>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</si>
  <si>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</si>
  <si>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</si>
  <si>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</si>
  <si>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</si>
  <si>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</si>
  <si>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</si>
  <si>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</si>
  <si>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</si>
  <si>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</si>
  <si>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</si>
  <si>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</si>
  <si>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</si>
  <si>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</si>
  <si>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</si>
  <si>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</si>
  <si>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</si>
  <si>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</si>
  <si>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</si>
  <si>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</si>
  <si>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</si>
  <si>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</si>
  <si>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</si>
  <si>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</si>
  <si>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</si>
  <si>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</si>
  <si>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</si>
  <si>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</si>
  <si>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</si>
  <si>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</si>
  <si>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</si>
  <si>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</si>
  <si>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</si>
  <si>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</si>
  <si>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</si>
  <si>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</si>
  <si>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</si>
  <si>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</si>
  <si>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</si>
  <si>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</si>
  <si>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</si>
  <si>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</si>
  <si>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</si>
  <si>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</si>
  <si>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</si>
  <si>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</si>
  <si>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</si>
  <si>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</si>
  <si>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</si>
  <si>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</si>
  <si>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</si>
  <si>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</si>
  <si>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</si>
  <si>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</si>
  <si>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</si>
  <si>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</si>
  <si>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</si>
  <si>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</si>
  <si>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</si>
  <si>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</si>
  <si>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</si>
  <si>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</si>
  <si>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</si>
  <si>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</si>
  <si>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</si>
  <si>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</si>
  <si>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</si>
  <si>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</si>
  <si>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</si>
  <si>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</si>
  <si>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</si>
  <si>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</si>
  <si>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</si>
  <si>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</si>
  <si>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</si>
  <si>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</si>
  <si>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</si>
  <si>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</si>
  <si>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</si>
  <si>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</si>
  <si>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</si>
  <si>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</si>
  <si>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</si>
  <si>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</si>
  <si>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</si>
  <si>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</si>
  <si>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</si>
  <si>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</si>
  <si>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</si>
  <si>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</si>
  <si>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</si>
  <si>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</si>
  <si>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</si>
  <si>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</si>
  <si>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</si>
  <si>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</si>
  <si>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</si>
  <si>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</si>
  <si>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</si>
  <si>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</si>
  <si>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</si>
  <si>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</si>
  <si>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</si>
  <si>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</si>
  <si>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</si>
  <si>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</si>
  <si>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</si>
  <si>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</si>
  <si>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</si>
  <si>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</si>
  <si>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</si>
  <si>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</si>
  <si>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</si>
  <si>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</si>
  <si>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</si>
  <si>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</si>
  <si>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</si>
  <si>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</si>
  <si>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</si>
  <si>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</si>
  <si>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</si>
  <si>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</si>
  <si>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</si>
  <si>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</si>
  <si>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</si>
  <si>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</si>
  <si>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</si>
  <si>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</si>
  <si>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</si>
  <si>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</si>
  <si>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</si>
  <si>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</si>
  <si>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</si>
  <si>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</si>
  <si>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</si>
  <si>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</si>
  <si>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</si>
  <si>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</si>
  <si>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</si>
  <si>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</si>
  <si>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</si>
  <si>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</si>
  <si>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</si>
  <si>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</si>
  <si>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</si>
  <si>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</si>
  <si>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</si>
  <si>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</si>
  <si>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</si>
  <si>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</si>
  <si>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</si>
  <si>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</si>
  <si>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</si>
  <si>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</si>
  <si>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</si>
  <si>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</si>
  <si>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</si>
  <si>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</si>
  <si>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</si>
  <si>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</si>
  <si>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</si>
  <si>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</si>
  <si>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</si>
  <si>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</si>
  <si>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</si>
  <si>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</si>
  <si>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</si>
  <si>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</si>
  <si>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</si>
  <si>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</si>
  <si>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</si>
  <si>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</si>
  <si>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</si>
  <si>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</si>
  <si>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</si>
  <si>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</si>
  <si>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</si>
  <si>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</si>
  <si>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</si>
  <si>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</si>
  <si>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</si>
  <si>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</si>
  <si>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</si>
  <si>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</si>
  <si>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</si>
  <si>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</si>
  <si>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</si>
  <si>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</si>
  <si>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</si>
  <si>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</si>
  <si>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</si>
  <si>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</si>
  <si>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</si>
  <si>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</si>
  <si>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</si>
  <si>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</si>
  <si>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</si>
  <si>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</si>
  <si>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</si>
  <si>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</si>
  <si>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</si>
  <si>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</si>
  <si>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</si>
  <si>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</si>
  <si>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</si>
  <si>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</si>
  <si>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</si>
  <si>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</si>
  <si>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</si>
  <si>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</si>
  <si>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</si>
  <si>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</si>
  <si>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</si>
  <si>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</si>
  <si>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</si>
  <si>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</si>
  <si>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</si>
  <si>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</si>
  <si>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</si>
  <si>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</si>
  <si>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</si>
  <si>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</si>
  <si>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</si>
  <si>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</si>
  <si>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</si>
  <si>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</si>
  <si>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</si>
  <si>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</si>
  <si>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</si>
  <si>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</si>
  <si>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</si>
  <si>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</si>
  <si>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</si>
  <si>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</si>
  <si>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</si>
  <si>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</si>
  <si>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</si>
  <si>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</si>
  <si>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</si>
  <si>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</si>
  <si>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</si>
  <si>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</si>
  <si>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</si>
  <si>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</si>
  <si>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</si>
  <si>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</si>
  <si>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</si>
  <si>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</si>
  <si>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</si>
  <si>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</si>
  <si>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</si>
  <si>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</si>
  <si>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</si>
  <si>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</si>
  <si>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</si>
  <si>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</si>
  <si>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</si>
  <si>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</si>
  <si>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</si>
  <si>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</si>
  <si>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</si>
  <si>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</si>
  <si>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</si>
  <si>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</si>
  <si>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</si>
  <si>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</si>
  <si>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</si>
  <si>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</si>
  <si>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</si>
  <si>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</si>
  <si>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</si>
  <si>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</si>
  <si>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</si>
  <si>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</si>
  <si>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</si>
  <si>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</si>
  <si>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</si>
  <si>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</si>
  <si>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</si>
  <si>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</si>
  <si>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</si>
  <si>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</si>
  <si>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</si>
  <si>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</si>
  <si>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</si>
  <si>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</si>
  <si>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</si>
  <si>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</si>
  <si>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</si>
  <si>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</si>
  <si>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</si>
  <si>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</si>
  <si>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</si>
  <si>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</si>
  <si>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</si>
  <si>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</si>
  <si>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</si>
  <si>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</si>
  <si>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</si>
  <si>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</si>
  <si>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</si>
  <si>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</si>
  <si>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</si>
  <si>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</si>
  <si>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</si>
  <si>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</si>
  <si>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</si>
  <si>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</si>
  <si>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</si>
  <si>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</si>
  <si>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</si>
  <si>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</si>
  <si>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</si>
  <si>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</si>
  <si>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</si>
  <si>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</si>
  <si>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</si>
  <si>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</si>
  <si>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</si>
  <si>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</si>
  <si>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</si>
  <si>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</si>
  <si>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</si>
  <si>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</si>
  <si>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</si>
  <si>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</si>
  <si>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</si>
  <si>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</si>
  <si>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</si>
  <si>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</si>
  <si>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</si>
  <si>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</si>
  <si>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</si>
  <si>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</si>
  <si>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</si>
  <si>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</si>
  <si>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</si>
  <si>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</si>
  <si>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</si>
  <si>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</si>
  <si>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</si>
  <si>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</si>
  <si>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</si>
  <si>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</si>
  <si>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</si>
  <si>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</si>
  <si>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</si>
  <si>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</si>
  <si>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</si>
  <si>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</si>
  <si>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</si>
  <si>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</si>
  <si>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</si>
  <si>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</si>
  <si>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</si>
  <si>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</si>
  <si>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</si>
  <si>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</si>
  <si>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</si>
  <si>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</si>
  <si>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</si>
  <si>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</si>
  <si>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</si>
  <si>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</si>
  <si>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</si>
  <si>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</si>
  <si>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</si>
  <si>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</si>
  <si>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</si>
  <si>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</si>
  <si>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</si>
  <si>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</si>
  <si>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</si>
  <si>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</si>
  <si>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</si>
  <si>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</si>
  <si>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</si>
  <si>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</si>
  <si>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</si>
  <si>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</si>
  <si>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</si>
  <si>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</si>
  <si>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</si>
  <si>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</si>
  <si>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</si>
  <si>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</si>
  <si>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</si>
  <si>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</si>
  <si>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</si>
  <si>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</si>
  <si>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</si>
  <si>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</si>
  <si>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</si>
  <si>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</si>
  <si>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</si>
  <si>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</si>
  <si>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</si>
  <si>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</si>
  <si>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</si>
  <si>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</si>
  <si>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</si>
  <si>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</si>
  <si>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</si>
  <si>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</si>
  <si>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</si>
  <si>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</si>
  <si>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</si>
  <si>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</si>
  <si>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</si>
  <si>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</si>
  <si>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</si>
  <si>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</si>
  <si>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</si>
  <si>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</si>
  <si>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</si>
  <si>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</si>
  <si>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</si>
  <si>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</si>
  <si>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</si>
  <si>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</si>
  <si>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</si>
  <si>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</si>
  <si>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</si>
  <si>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</si>
  <si>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</si>
  <si>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</si>
  <si>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</si>
  <si>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</si>
  <si>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</si>
  <si>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</si>
  <si>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</si>
  <si>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</si>
  <si>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</si>
  <si>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</si>
  <si>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</si>
  <si>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</si>
  <si>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</si>
  <si>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</si>
  <si>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</si>
  <si>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</si>
  <si>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</si>
  <si>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</si>
  <si>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</si>
  <si>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</si>
  <si>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</si>
  <si>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</si>
  <si>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</si>
  <si>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</si>
  <si>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</si>
  <si>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</si>
  <si>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</si>
  <si>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</si>
  <si>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</si>
  <si>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</si>
  <si>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</si>
  <si>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</si>
  <si>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</si>
  <si>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</si>
  <si>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</si>
  <si>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</si>
  <si>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</si>
  <si>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</si>
  <si>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</si>
  <si>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</si>
  <si>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</si>
  <si>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</si>
  <si>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</si>
  <si>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</si>
  <si>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</si>
  <si>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</si>
  <si>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</si>
  <si>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</si>
  <si>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</si>
  <si>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</si>
  <si>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</si>
  <si>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</si>
  <si>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</si>
  <si>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</si>
  <si>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</si>
  <si>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</si>
  <si>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</si>
  <si>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</si>
  <si>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</si>
  <si>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</si>
  <si>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</si>
  <si>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</si>
  <si>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</si>
  <si>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</si>
  <si>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</si>
  <si>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</si>
  <si>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</si>
  <si>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</si>
  <si>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</si>
  <si>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</si>
  <si>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</si>
  <si>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</si>
  <si>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</si>
  <si>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</si>
  <si>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</si>
  <si>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</si>
  <si>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</si>
  <si>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</si>
  <si>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</si>
  <si>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</si>
  <si>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</si>
  <si>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</si>
  <si>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</si>
  <si>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</si>
  <si>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</si>
  <si>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</si>
  <si>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</si>
  <si>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</si>
  <si>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</si>
  <si>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</si>
  <si>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</si>
  <si>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</si>
  <si>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</si>
  <si>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</si>
  <si>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</si>
  <si>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</si>
  <si>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</si>
  <si>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</si>
  <si>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</si>
  <si>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</si>
  <si>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</si>
  <si>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</si>
  <si>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</si>
  <si>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</si>
  <si>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</si>
  <si>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</si>
  <si>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</si>
  <si>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</si>
  <si>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</si>
  <si>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</si>
  <si>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</si>
  <si>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</si>
  <si>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</si>
  <si>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</si>
  <si>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</si>
  <si>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</si>
  <si>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</si>
  <si>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</si>
  <si>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</si>
  <si>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</si>
  <si>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</si>
  <si>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</si>
  <si>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</si>
  <si>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</si>
  <si>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</si>
  <si>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</si>
  <si>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</si>
  <si>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</si>
  <si>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</si>
  <si>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</si>
  <si>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</si>
  <si>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</si>
  <si>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</si>
  <si>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</si>
  <si>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</si>
  <si>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</si>
  <si>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</si>
  <si>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</si>
  <si>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</si>
  <si>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</si>
  <si>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</si>
  <si>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</si>
  <si>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</si>
  <si>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</si>
  <si>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</si>
  <si>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</si>
  <si>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</si>
  <si>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</si>
  <si>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</si>
  <si>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</si>
  <si>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</si>
  <si>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</si>
  <si>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</si>
  <si>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</si>
  <si>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</si>
  <si>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</si>
  <si>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</si>
  <si>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</si>
  <si>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</si>
  <si>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</si>
  <si>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</si>
  <si>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</si>
  <si>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</si>
  <si>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</si>
  <si>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</si>
  <si>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</si>
  <si>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</si>
  <si>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</si>
  <si>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</si>
  <si>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</si>
  <si>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</si>
  <si>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</si>
  <si>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</si>
  <si>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</si>
  <si>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</si>
  <si>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</si>
  <si>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</si>
  <si>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</si>
  <si>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</si>
  <si>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</si>
  <si>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</si>
  <si>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</si>
  <si>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</si>
  <si>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</si>
  <si>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</si>
  <si>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</si>
  <si>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</si>
  <si>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</si>
  <si>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</si>
  <si>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</si>
  <si>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</si>
  <si>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</si>
  <si>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</si>
  <si>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</si>
  <si>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</si>
  <si>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</si>
  <si>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</si>
  <si>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</si>
  <si>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</si>
  <si>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</si>
  <si>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</si>
  <si>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</si>
  <si>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</si>
  <si>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</si>
  <si>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</si>
  <si>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</si>
  <si>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</si>
  <si>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</si>
  <si>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</si>
  <si>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</si>
  <si>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</si>
  <si>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</si>
  <si>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</si>
  <si>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</si>
  <si>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</si>
  <si>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</si>
  <si>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</si>
  <si>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</si>
  <si>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</si>
  <si>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</si>
  <si>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</si>
  <si>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</si>
  <si>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</si>
  <si>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</si>
  <si>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</si>
  <si>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</si>
  <si>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</si>
  <si>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</si>
  <si>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</si>
  <si>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</si>
  <si>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</si>
  <si>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</si>
  <si>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</si>
  <si>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</si>
  <si>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</si>
  <si>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</si>
  <si>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</si>
  <si>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</si>
  <si>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</si>
  <si>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</si>
  <si>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</si>
  <si>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</si>
  <si>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</si>
  <si>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</si>
  <si>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</si>
  <si>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</si>
  <si>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</si>
  <si>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</si>
  <si>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</si>
  <si>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</si>
  <si>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</si>
  <si>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</si>
  <si>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</si>
  <si>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</si>
  <si>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</si>
  <si>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</si>
  <si>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</si>
  <si>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</si>
  <si>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</si>
  <si>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</si>
  <si>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</si>
  <si>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</si>
  <si>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</si>
  <si>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</si>
  <si>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</si>
  <si>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</si>
  <si>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</si>
  <si>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</si>
  <si>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</si>
  <si>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</si>
  <si>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</si>
  <si>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</si>
  <si>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</si>
  <si>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</si>
  <si>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</si>
  <si>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</si>
  <si>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</si>
  <si>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</si>
  <si>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</si>
  <si>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</si>
  <si>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</si>
  <si>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</si>
  <si>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</si>
  <si>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</si>
  <si>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</si>
  <si>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</si>
  <si>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</si>
  <si>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</si>
  <si>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</si>
  <si>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</si>
  <si>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</si>
  <si>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</si>
  <si>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</si>
  <si>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</si>
  <si>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</si>
  <si>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</si>
  <si>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</si>
  <si>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</si>
  <si>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</si>
  <si>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</si>
  <si>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</si>
  <si>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</si>
  <si>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</si>
  <si>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</si>
  <si>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</si>
  <si>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</si>
  <si>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</si>
  <si>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</si>
  <si>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</si>
  <si>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</si>
  <si>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</si>
  <si>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</si>
  <si>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</si>
  <si>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</si>
  <si>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</si>
  <si>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</si>
  <si>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</si>
  <si>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</si>
  <si>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</si>
  <si>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</si>
  <si>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</si>
  <si>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</si>
  <si>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</si>
  <si>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</si>
  <si>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</si>
  <si>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</si>
  <si>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</si>
  <si>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</si>
  <si>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</si>
  <si>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</si>
  <si>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</si>
  <si>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</si>
  <si>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</si>
  <si>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</si>
  <si>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</si>
  <si>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</si>
  <si>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</si>
  <si>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</si>
  <si>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</si>
  <si>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</si>
  <si>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</si>
  <si>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</si>
  <si>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</si>
  <si>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</si>
  <si>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</si>
  <si>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</si>
  <si>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</si>
  <si>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</si>
  <si>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</si>
  <si>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</si>
  <si>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</si>
  <si>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</si>
  <si>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</si>
  <si>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</si>
  <si>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</si>
  <si>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</si>
  <si>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</si>
  <si>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</si>
  <si>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</si>
  <si>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</si>
  <si>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</si>
  <si>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</si>
  <si>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</si>
  <si>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</si>
  <si>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</si>
  <si>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</si>
  <si>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</si>
  <si>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</si>
  <si>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</si>
  <si>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</si>
  <si>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</si>
  <si>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</si>
  <si>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</si>
  <si>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</si>
  <si>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</si>
  <si>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</si>
  <si>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</si>
  <si>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</si>
  <si>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</si>
  <si>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</si>
  <si>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</si>
  <si>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</si>
  <si>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</si>
  <si>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</si>
  <si>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</si>
  <si>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</si>
  <si>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</si>
  <si>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</si>
  <si>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</si>
  <si>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</si>
  <si>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</si>
  <si>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</si>
  <si>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</si>
  <si>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</si>
  <si>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</si>
  <si>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</si>
  <si>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</si>
  <si>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</si>
  <si>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</si>
  <si>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</si>
  <si>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</si>
  <si>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</si>
  <si>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</si>
  <si>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</si>
  <si>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</si>
  <si>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</si>
  <si>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</si>
  <si>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</si>
  <si>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</si>
  <si>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</si>
  <si>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</si>
  <si>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</si>
  <si>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</si>
  <si>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</si>
  <si>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</si>
  <si>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</si>
  <si>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</si>
  <si>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</si>
  <si>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</si>
  <si>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</si>
  <si>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</si>
  <si>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</si>
  <si>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</si>
  <si>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</si>
  <si>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</si>
  <si>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</si>
  <si>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</si>
  <si>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</si>
  <si>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</si>
  <si>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</si>
  <si>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</si>
  <si>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</si>
  <si>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</si>
  <si>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</si>
  <si>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</si>
  <si>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</si>
  <si>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</si>
  <si>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</si>
  <si>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</si>
  <si>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</si>
  <si>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</si>
  <si>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</si>
  <si>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</si>
  <si>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</si>
  <si>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</si>
  <si>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</si>
  <si>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</si>
  <si>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</si>
  <si>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</si>
  <si>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</si>
  <si>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</si>
  <si>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</si>
  <si>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</si>
  <si>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</si>
  <si>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</si>
  <si>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</si>
  <si>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</si>
  <si>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</si>
  <si>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</si>
  <si>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</si>
  <si>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</si>
  <si>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</si>
  <si>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</si>
  <si>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</si>
  <si>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</si>
  <si>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</si>
  <si>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</si>
  <si>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</si>
  <si>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</si>
  <si>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</si>
  <si>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</si>
  <si>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</si>
  <si>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</si>
  <si>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</si>
  <si>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</si>
  <si>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</si>
  <si>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</si>
  <si>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</si>
  <si>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</si>
  <si>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</si>
  <si>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</si>
  <si>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</si>
  <si>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</si>
  <si>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</si>
  <si>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</si>
  <si>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</si>
  <si>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</si>
  <si>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</si>
  <si>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</si>
  <si>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</si>
  <si>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</si>
  <si>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</si>
  <si>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</si>
  <si>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</si>
  <si>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</si>
  <si>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</si>
  <si>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</si>
  <si>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</si>
  <si>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</si>
  <si>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</si>
  <si>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</si>
  <si>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</si>
  <si>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</si>
  <si>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</si>
  <si>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</si>
  <si>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</si>
  <si>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</si>
  <si>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</si>
  <si>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</si>
  <si>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</si>
  <si>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</si>
  <si>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</si>
  <si>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</si>
  <si>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</si>
  <si>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</si>
  <si>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</si>
  <si>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</si>
  <si>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</si>
  <si>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</si>
  <si>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</si>
  <si>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</si>
  <si>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</si>
  <si>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</si>
  <si>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</si>
  <si>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</si>
  <si>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</si>
  <si>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</si>
  <si>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</si>
  <si>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</si>
  <si>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</si>
  <si>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</si>
  <si>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</si>
  <si>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</si>
  <si>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</si>
  <si>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</si>
  <si>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</si>
  <si>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</si>
  <si>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</si>
  <si>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</si>
  <si>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</si>
  <si>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</si>
  <si>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</si>
  <si>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</si>
  <si>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</si>
  <si>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</si>
  <si>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</si>
  <si>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</si>
  <si>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</si>
  <si>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</si>
  <si>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</si>
  <si>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</si>
  <si>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</si>
  <si>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</si>
  <si>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</si>
  <si>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</si>
  <si>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</si>
  <si>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</si>
  <si>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</si>
  <si>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</si>
  <si>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</si>
  <si>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</si>
  <si>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</si>
  <si>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</si>
  <si>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</si>
  <si>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</si>
  <si>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</si>
  <si>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</si>
  <si>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</si>
  <si>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</si>
  <si>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</si>
  <si>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</si>
  <si>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</si>
  <si>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</si>
  <si>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</si>
  <si>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</si>
  <si>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</si>
  <si>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</si>
  <si>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</si>
  <si>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</si>
  <si>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</si>
  <si>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</si>
  <si>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</si>
  <si>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</si>
  <si>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</si>
  <si>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</si>
  <si>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</si>
  <si>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</si>
  <si>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</si>
  <si>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</si>
  <si>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</si>
  <si>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</si>
  <si>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</si>
  <si>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</si>
  <si>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</si>
  <si>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</si>
  <si>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</si>
  <si>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</si>
  <si>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</si>
  <si>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</si>
  <si>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</si>
  <si>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</si>
  <si>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</si>
  <si>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</si>
  <si>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</si>
  <si>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</si>
  <si>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</si>
  <si>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</si>
  <si>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</si>
  <si>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</si>
  <si>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</si>
  <si>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</si>
  <si>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</si>
  <si>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</si>
  <si>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</si>
  <si>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</si>
  <si>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</si>
  <si>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</si>
  <si>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</si>
  <si>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</si>
  <si>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</si>
  <si>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</si>
  <si>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</si>
  <si>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</si>
  <si>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</si>
  <si>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</si>
  <si>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</si>
  <si>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</si>
  <si>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</si>
  <si>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</si>
  <si>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</si>
  <si>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</si>
  <si>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</si>
  <si>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</si>
  <si>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</si>
  <si>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</si>
  <si>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</si>
  <si>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</si>
  <si>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</si>
  <si>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</si>
  <si>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</si>
  <si>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</si>
  <si>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</si>
  <si>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</si>
  <si>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</si>
  <si>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</si>
  <si>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</si>
  <si>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</si>
  <si>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</si>
  <si>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</si>
  <si>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</si>
  <si>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</si>
  <si>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</si>
  <si>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</si>
  <si>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</si>
  <si>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</si>
  <si>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</si>
  <si>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</si>
  <si>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</si>
  <si>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</si>
  <si>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</si>
  <si>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</si>
  <si>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</si>
  <si>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</si>
  <si>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</si>
  <si>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</si>
  <si>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</si>
  <si>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</si>
  <si>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</si>
  <si>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</si>
  <si>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</si>
  <si>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</si>
  <si>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</si>
  <si>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</si>
  <si>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</si>
  <si>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</si>
  <si>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</si>
  <si>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</si>
  <si>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</si>
  <si>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</si>
  <si>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</si>
  <si>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</si>
  <si>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</si>
  <si>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</si>
  <si>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</si>
  <si>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</si>
  <si>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</si>
  <si>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</si>
  <si>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</si>
  <si>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</si>
  <si>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</si>
  <si>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</si>
  <si>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</si>
  <si>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</si>
  <si>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</si>
  <si>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</si>
  <si>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</si>
  <si>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</si>
  <si>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</si>
  <si>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</si>
  <si>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</si>
  <si>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</si>
  <si>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</si>
  <si>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</si>
  <si>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</si>
  <si>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</si>
  <si>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</si>
  <si>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</si>
  <si>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</si>
  <si>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</si>
  <si>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</si>
  <si>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</si>
  <si>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</si>
  <si>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</si>
  <si>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</si>
  <si>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</si>
  <si>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</si>
  <si>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</si>
  <si>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</si>
  <si>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</si>
  <si>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</si>
  <si>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</si>
  <si>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</si>
  <si>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</si>
  <si>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</si>
  <si>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</si>
  <si>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</si>
  <si>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</si>
  <si>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</si>
  <si>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</si>
  <si>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</si>
  <si>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</si>
  <si>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</si>
  <si>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</si>
  <si>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</si>
  <si>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</si>
  <si>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</si>
  <si>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</si>
  <si>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</si>
  <si>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</si>
  <si>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</si>
  <si>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</si>
  <si>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</si>
  <si>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</si>
  <si>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</si>
  <si>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</si>
  <si>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</si>
  <si>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</si>
  <si>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</si>
  <si>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</si>
  <si>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</si>
  <si>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</si>
  <si>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</si>
  <si>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</si>
  <si>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</si>
  <si>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</si>
  <si>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</si>
  <si>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</si>
  <si>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</si>
  <si>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</si>
  <si>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</si>
  <si>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</si>
  <si>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</si>
  <si>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</si>
  <si>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</si>
  <si>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</si>
  <si>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</si>
  <si>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</si>
  <si>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</si>
  <si>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</si>
  <si>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</si>
  <si>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</si>
  <si>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</si>
  <si>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</si>
  <si>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</si>
  <si>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</si>
  <si>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</si>
  <si>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</si>
  <si>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</si>
  <si>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</si>
  <si>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</si>
  <si>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</si>
  <si>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</si>
  <si>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</si>
  <si>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</si>
  <si>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</si>
  <si>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</si>
  <si>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</si>
  <si>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</si>
  <si>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</si>
  <si>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</si>
  <si>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</si>
  <si>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</si>
  <si>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</si>
  <si>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</si>
  <si>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</si>
  <si>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</si>
  <si>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</si>
  <si>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</si>
  <si>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</si>
  <si>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</si>
  <si>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</si>
  <si>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</si>
  <si>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</si>
  <si>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</si>
  <si>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</si>
  <si>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</si>
  <si>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</si>
  <si>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</si>
  <si>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</si>
  <si>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</si>
  <si>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</si>
  <si>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</si>
  <si>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</si>
  <si>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</si>
  <si>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</si>
  <si>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</si>
  <si>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</si>
  <si>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</si>
  <si>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</si>
  <si>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</si>
  <si>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</si>
  <si>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</si>
  <si>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</si>
  <si>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</si>
  <si>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</si>
  <si>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</si>
  <si>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</si>
  <si>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</si>
  <si>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</si>
  <si>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</si>
  <si>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</si>
  <si>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</si>
  <si>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</si>
  <si>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</si>
  <si>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</si>
  <si>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</si>
  <si>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</si>
  <si>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</si>
  <si>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</si>
  <si>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</si>
  <si>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</si>
  <si>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</si>
  <si>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</si>
  <si>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</si>
  <si>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</si>
  <si>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</si>
  <si>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</si>
  <si>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</si>
  <si>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</si>
  <si>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</si>
  <si>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</si>
  <si>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</si>
  <si>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</si>
  <si>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</si>
  <si>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</si>
  <si>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</si>
  <si>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</si>
  <si>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</si>
  <si>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</si>
  <si>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</si>
  <si>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</si>
  <si>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</si>
  <si>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</si>
  <si>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</si>
  <si>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</si>
  <si>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</si>
  <si>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</si>
  <si>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</si>
  <si>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</si>
  <si>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</si>
  <si>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</si>
  <si>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</si>
  <si>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</si>
  <si>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</si>
  <si>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</si>
  <si>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</si>
  <si>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</si>
  <si>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</si>
  <si>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</si>
  <si>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</si>
  <si>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</si>
  <si>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</si>
  <si>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</si>
  <si>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</si>
  <si>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</si>
  <si>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</si>
  <si>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</si>
  <si>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</si>
  <si>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</si>
  <si>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</si>
  <si>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</si>
  <si>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</si>
  <si>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</si>
  <si>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</si>
  <si>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</si>
  <si>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</si>
  <si>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</si>
  <si>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</si>
  <si>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</si>
  <si>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</si>
  <si>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</si>
  <si>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</si>
  <si>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</si>
  <si>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</si>
  <si>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</si>
  <si>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</si>
  <si>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</si>
  <si>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</si>
  <si>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</si>
  <si>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</si>
  <si>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</si>
  <si>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</si>
  <si>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</si>
  <si>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</si>
  <si>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</si>
  <si>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</si>
  <si>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</si>
  <si>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</si>
  <si>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</si>
  <si>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</si>
  <si>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</si>
  <si>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</si>
  <si>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</si>
  <si>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</si>
  <si>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</si>
  <si>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</si>
  <si>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</si>
  <si>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</si>
  <si>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</si>
  <si>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</si>
  <si>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</si>
  <si>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</si>
  <si>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</si>
  <si>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</si>
  <si>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</si>
  <si>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</si>
  <si>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</si>
  <si>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</si>
  <si>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</si>
  <si>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</si>
  <si>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</si>
  <si>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</si>
  <si>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</si>
  <si>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</si>
  <si>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</si>
  <si>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</si>
  <si>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</si>
  <si>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</si>
  <si>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</si>
  <si>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</si>
  <si>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</si>
  <si>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</si>
  <si>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</si>
  <si>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</si>
  <si>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</si>
  <si>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</si>
  <si>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</si>
  <si>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</si>
  <si>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</si>
  <si>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</si>
  <si>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</si>
  <si>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</si>
  <si>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</si>
  <si>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</si>
  <si>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</si>
  <si>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</si>
  <si>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</si>
  <si>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</si>
  <si>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</si>
  <si>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</si>
  <si>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</si>
  <si>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</si>
  <si>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</si>
  <si>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</si>
  <si>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</si>
  <si>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</si>
  <si>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</si>
  <si>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</si>
  <si>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</si>
  <si>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</si>
  <si>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</si>
  <si>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</si>
  <si>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</si>
  <si>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</si>
  <si>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</si>
  <si>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</si>
  <si>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</si>
  <si>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</si>
  <si>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</si>
  <si>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</si>
  <si>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</si>
  <si>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</si>
  <si>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</si>
  <si>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</si>
  <si>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</si>
  <si>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</si>
  <si>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</si>
  <si>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</si>
  <si>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</si>
  <si>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</si>
  <si>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</si>
  <si>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</si>
  <si>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</si>
  <si>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</si>
  <si>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</si>
  <si>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</si>
  <si>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</si>
  <si>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</si>
  <si>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</si>
  <si>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</si>
  <si>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</si>
  <si>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</si>
  <si>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</si>
  <si>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</si>
  <si>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</si>
  <si>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</si>
  <si>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</si>
  <si>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</si>
  <si>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</si>
  <si>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</si>
  <si>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</si>
  <si>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</si>
  <si>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</si>
  <si>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</si>
  <si>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</si>
  <si>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</si>
  <si>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</si>
  <si>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</si>
  <si>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</si>
  <si>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</si>
  <si>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</si>
  <si>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</si>
  <si>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</si>
  <si>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</si>
  <si>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</si>
  <si>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</si>
  <si>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</si>
  <si>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</si>
  <si>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</si>
  <si>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</si>
  <si>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</si>
  <si>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</si>
  <si>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</si>
  <si>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</si>
  <si>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</si>
  <si>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</si>
  <si>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</si>
  <si>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</si>
  <si>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</si>
  <si>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</si>
  <si>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</si>
  <si>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</si>
  <si>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</si>
  <si>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</si>
  <si>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</si>
  <si>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</si>
  <si>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</si>
  <si>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</si>
  <si>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</si>
  <si>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</si>
  <si>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</si>
  <si>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</si>
  <si>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</si>
  <si>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</si>
  <si>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</si>
  <si>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</si>
  <si>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</si>
  <si>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</si>
  <si>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</si>
  <si>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</si>
  <si>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</si>
  <si>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</si>
  <si>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</si>
  <si>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</si>
  <si>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</si>
  <si>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</si>
  <si>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</si>
  <si>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</si>
  <si>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</si>
  <si>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</si>
  <si>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</si>
  <si>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</si>
  <si>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</si>
  <si>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</si>
  <si>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</si>
  <si>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</si>
  <si>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</si>
  <si>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</si>
  <si>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</si>
  <si>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</si>
  <si>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</si>
  <si>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</si>
  <si>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</si>
  <si>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</si>
  <si>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</si>
  <si>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</si>
  <si>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</si>
  <si>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</si>
  <si>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</si>
  <si>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</si>
  <si>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</si>
  <si>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</si>
  <si>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</si>
  <si>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</si>
  <si>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</si>
  <si>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</si>
  <si>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</si>
  <si>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</si>
  <si>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</si>
  <si>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</si>
  <si>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</si>
  <si>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</si>
  <si>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</si>
  <si>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</si>
  <si>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</si>
  <si>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</si>
  <si>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</si>
  <si>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</si>
  <si>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</si>
  <si>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</si>
  <si>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</si>
  <si>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</si>
  <si>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</si>
  <si>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</si>
  <si>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</si>
  <si>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</si>
  <si>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</si>
  <si>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</si>
  <si>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</si>
  <si>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</si>
  <si>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</si>
  <si>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</si>
  <si>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</si>
  <si>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</si>
  <si>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</si>
  <si>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</si>
  <si>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</si>
  <si>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</si>
  <si>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</si>
  <si>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</si>
  <si>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</si>
  <si>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</si>
  <si>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</si>
  <si>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</si>
  <si>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</si>
  <si>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</si>
  <si>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</si>
  <si>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</si>
  <si>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</si>
  <si>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</si>
  <si>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</si>
  <si>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</si>
  <si>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</si>
  <si>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</si>
  <si>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</si>
  <si>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</si>
  <si>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</si>
  <si>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</si>
  <si>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</si>
  <si>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</si>
  <si>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</si>
  <si>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</si>
  <si>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</si>
  <si>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</si>
  <si>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</si>
  <si>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</si>
  <si>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</si>
  <si>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</si>
  <si>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</si>
  <si>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</si>
  <si>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</si>
  <si>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</si>
  <si>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</si>
  <si>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</si>
  <si>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</si>
  <si>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</si>
  <si>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</si>
  <si>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</si>
  <si>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</si>
  <si>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</si>
  <si>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</si>
  <si>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</si>
  <si>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</si>
  <si>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</si>
  <si>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</si>
  <si>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</si>
  <si>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</si>
  <si>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</si>
  <si>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</si>
  <si>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</si>
  <si>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</si>
  <si>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</si>
  <si>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</si>
  <si>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</si>
  <si>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</si>
  <si>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</si>
  <si>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</si>
  <si>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</si>
  <si>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</si>
  <si>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</si>
  <si>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</si>
  <si>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</si>
  <si>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</si>
  <si>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</si>
  <si>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</si>
  <si>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</si>
  <si>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</si>
  <si>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</si>
  <si>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</si>
  <si>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</si>
  <si>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</si>
  <si>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</si>
  <si>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</si>
  <si>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</si>
  <si>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</si>
  <si>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</si>
  <si>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</si>
  <si>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</si>
  <si>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</si>
  <si>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</si>
  <si>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</si>
  <si>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</si>
  <si>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</si>
  <si>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</si>
  <si>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</si>
  <si>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</si>
  <si>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</si>
  <si>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</si>
  <si>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</si>
  <si>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</si>
  <si>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</si>
  <si>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</si>
  <si>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</si>
  <si>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</si>
  <si>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</si>
  <si>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</si>
  <si>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</si>
  <si>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</si>
  <si>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</si>
  <si>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</si>
  <si>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</si>
  <si>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</si>
  <si>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</si>
  <si>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</si>
  <si>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</si>
  <si>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</si>
  <si>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</si>
  <si>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</si>
  <si>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</si>
  <si>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</si>
  <si>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</si>
  <si>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</si>
  <si>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</si>
  <si>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</si>
  <si>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</si>
  <si>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</si>
  <si>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</si>
  <si>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</si>
  <si>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</si>
  <si>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</si>
  <si>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</si>
  <si>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</si>
  <si>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</si>
  <si>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</si>
  <si>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</si>
  <si>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</si>
  <si>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</si>
  <si>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</si>
  <si>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</si>
  <si>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</si>
  <si>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</si>
  <si>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</si>
  <si>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</si>
  <si>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</si>
  <si>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</si>
  <si>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</si>
  <si>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</si>
  <si>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</si>
  <si>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</si>
  <si>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</si>
  <si>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</si>
  <si>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</si>
  <si>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</si>
  <si>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</si>
  <si>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</si>
  <si>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</si>
  <si>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</si>
  <si>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</si>
  <si>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</si>
  <si>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</si>
  <si>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</si>
  <si>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</si>
  <si>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</si>
  <si>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</si>
  <si>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</si>
  <si>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</si>
  <si>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</si>
  <si>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</si>
  <si>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</si>
  <si>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</si>
  <si>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</si>
  <si>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</si>
  <si>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</si>
  <si>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</si>
  <si>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</si>
  <si>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</si>
  <si>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</si>
  <si>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</si>
  <si>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</si>
  <si>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</si>
  <si>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</si>
  <si>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</si>
  <si>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</si>
  <si>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</si>
  <si>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</si>
  <si>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</si>
  <si>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</si>
  <si>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</si>
  <si>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</si>
  <si>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</si>
  <si>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</si>
  <si>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</si>
  <si>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</si>
  <si>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</si>
  <si>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</si>
  <si>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</si>
  <si>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</si>
  <si>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</si>
  <si>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</si>
  <si>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</si>
  <si>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</si>
  <si>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</si>
  <si>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</si>
  <si>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</si>
  <si>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</si>
  <si>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</si>
  <si>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</si>
  <si>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</si>
  <si>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</si>
  <si>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</si>
  <si>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</si>
  <si>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</si>
  <si>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</si>
  <si>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</si>
  <si>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</si>
  <si>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</si>
  <si>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</si>
  <si>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</si>
  <si>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</si>
  <si>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</si>
  <si>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</si>
  <si>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</si>
  <si>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</si>
  <si>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</si>
  <si>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</si>
  <si>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</si>
  <si>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</si>
  <si>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</si>
  <si>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</si>
  <si>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</si>
  <si>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</si>
  <si>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</si>
  <si>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</si>
  <si>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</si>
  <si>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</si>
  <si>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</si>
  <si>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</si>
  <si>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</si>
  <si>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</si>
  <si>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</si>
  <si>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</si>
  <si>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</si>
  <si>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</si>
  <si>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</si>
  <si>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</si>
  <si>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</si>
  <si>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</si>
  <si>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</si>
  <si>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</si>
  <si>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</si>
  <si>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</si>
  <si>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</si>
  <si>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</si>
  <si>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</si>
  <si>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</si>
  <si>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</si>
  <si>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</si>
  <si>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</si>
  <si>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</si>
  <si>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</si>
  <si>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</si>
  <si>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</si>
  <si>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</si>
  <si>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</si>
  <si>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</si>
  <si>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</si>
  <si>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</si>
  <si>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</si>
  <si>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</si>
  <si>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</si>
  <si>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</si>
  <si>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</si>
  <si>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</si>
  <si>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</si>
  <si>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</si>
  <si>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</si>
  <si>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</si>
  <si>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</si>
  <si>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</si>
  <si>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</si>
  <si>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</si>
  <si>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</si>
  <si>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</si>
  <si>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</si>
  <si>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</si>
  <si>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</si>
  <si>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</si>
  <si>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</si>
  <si>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</si>
  <si>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</si>
  <si>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</si>
  <si>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</si>
  <si>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</si>
  <si>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</si>
  <si>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</si>
  <si>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</si>
  <si>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</si>
  <si>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</si>
  <si>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</si>
  <si>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</si>
  <si>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</si>
  <si>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</si>
  <si>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</si>
  <si>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</si>
  <si>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</si>
  <si>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</si>
  <si>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</si>
  <si>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</si>
  <si>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</si>
  <si>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</si>
  <si>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</si>
  <si>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</si>
  <si>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</si>
  <si>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</si>
  <si>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</si>
  <si>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</si>
  <si>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</si>
  <si>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</si>
  <si>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</si>
  <si>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</si>
  <si>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</si>
  <si>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</si>
  <si>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</si>
  <si>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</si>
  <si>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</si>
  <si>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</si>
  <si>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</si>
  <si>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</si>
  <si>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</si>
  <si>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</si>
  <si>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</si>
  <si>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</si>
  <si>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</si>
  <si>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</si>
  <si>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</si>
  <si>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</si>
  <si>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</si>
  <si>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</si>
  <si>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</si>
  <si>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</si>
  <si>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</si>
  <si>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</si>
  <si>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</si>
  <si>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</si>
  <si>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</si>
  <si>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</si>
  <si>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</si>
  <si>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</si>
  <si>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</si>
  <si>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</si>
  <si>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</si>
  <si>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</si>
  <si>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</si>
  <si>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</si>
  <si>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</si>
  <si>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</si>
  <si>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</si>
  <si>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</si>
  <si>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</si>
  <si>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</si>
  <si>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</si>
  <si>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</si>
  <si>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</si>
  <si>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</si>
  <si>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</si>
  <si>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</si>
  <si>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</si>
  <si>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</si>
  <si>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</si>
  <si>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</si>
  <si>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</si>
  <si>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</si>
  <si>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</si>
  <si>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</si>
  <si>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</si>
  <si>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</si>
  <si>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</si>
  <si>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</si>
  <si>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</si>
  <si>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</si>
  <si>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</si>
  <si>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</si>
  <si>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</si>
  <si>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</si>
  <si>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</si>
  <si>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</si>
  <si>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</si>
  <si>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</si>
  <si>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</si>
  <si>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</si>
  <si>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</si>
  <si>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</si>
  <si>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</si>
  <si>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</si>
  <si>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</si>
  <si>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</si>
  <si>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</si>
  <si>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</si>
  <si>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</si>
  <si>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</si>
  <si>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</si>
  <si>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</si>
  <si>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</si>
  <si>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</si>
  <si>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</si>
  <si>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</si>
  <si>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</si>
  <si>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</si>
  <si>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</si>
  <si>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</si>
  <si>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</si>
  <si>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</si>
  <si>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</si>
  <si>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</si>
  <si>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</si>
  <si>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</si>
  <si>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</si>
  <si>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</si>
  <si>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</si>
  <si>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</si>
  <si>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</si>
  <si>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</si>
  <si>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</si>
  <si>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</si>
  <si>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</si>
  <si>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</si>
  <si>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</si>
  <si>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</si>
  <si>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</si>
  <si>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</si>
  <si>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</si>
  <si>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</si>
  <si>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</si>
  <si>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</si>
  <si>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</si>
  <si>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</si>
  <si>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</si>
  <si>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</si>
  <si>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</si>
  <si>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</si>
  <si>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</si>
  <si>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</si>
  <si>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</si>
  <si>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</si>
  <si>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</si>
  <si>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</si>
  <si>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</si>
  <si>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</si>
  <si>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</si>
  <si>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</si>
  <si>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</si>
  <si>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</si>
  <si>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</si>
  <si>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</si>
  <si>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</si>
  <si>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</si>
  <si>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</si>
  <si>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</si>
  <si>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</si>
  <si>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</si>
  <si>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</si>
  <si>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</si>
  <si>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</si>
  <si>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</si>
  <si>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</si>
  <si>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</si>
  <si>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</si>
  <si>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</si>
  <si>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</si>
  <si>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</si>
  <si>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</si>
  <si>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</si>
  <si>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</si>
  <si>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</si>
  <si>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</si>
  <si>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</si>
  <si>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</si>
  <si>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</si>
  <si>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</si>
  <si>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</si>
  <si>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</si>
  <si>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</si>
  <si>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</si>
  <si>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</si>
  <si>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</si>
  <si>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</si>
  <si>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</si>
  <si>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</si>
  <si>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</si>
  <si>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</si>
  <si>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</si>
  <si>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</si>
  <si>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</si>
  <si>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</si>
  <si>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</si>
  <si>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</si>
  <si>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</si>
  <si>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</si>
  <si>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</si>
  <si>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</si>
  <si>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</si>
  <si>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</si>
  <si>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</si>
  <si>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</si>
  <si>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</si>
  <si>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</si>
  <si>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</si>
  <si>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</si>
  <si>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</si>
  <si>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</si>
  <si>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</si>
  <si>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</si>
  <si>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</si>
  <si>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</si>
  <si>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</si>
  <si>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</si>
  <si>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</si>
  <si>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</si>
  <si>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</si>
  <si>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</si>
  <si>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</si>
  <si>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</si>
  <si>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</si>
  <si>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</si>
  <si>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</si>
  <si>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</si>
  <si>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</si>
  <si>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</si>
  <si>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</si>
  <si>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</si>
  <si>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</si>
  <si>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</si>
  <si>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</si>
  <si>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</si>
  <si>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</si>
  <si>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</si>
  <si>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</si>
  <si>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</si>
  <si>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</si>
  <si>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</si>
  <si>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</si>
  <si>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</si>
  <si>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</si>
  <si>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</si>
  <si>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</si>
  <si>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</si>
  <si>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</si>
  <si>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</si>
  <si>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</si>
  <si>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</si>
  <si>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</si>
  <si>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</si>
  <si>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</si>
  <si>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</si>
  <si>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</si>
  <si>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</si>
  <si>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</si>
  <si>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</si>
  <si>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</si>
  <si>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</si>
  <si>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</si>
  <si>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</si>
  <si>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</si>
  <si>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</si>
  <si>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</si>
  <si>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</si>
  <si>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</si>
  <si>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</si>
  <si>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</si>
  <si>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</si>
  <si>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</si>
  <si>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</si>
  <si>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</si>
  <si>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</si>
  <si>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</si>
  <si>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</si>
  <si>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</si>
  <si>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</si>
  <si>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</si>
  <si>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</si>
  <si>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</si>
  <si>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</si>
  <si>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</si>
  <si>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</si>
  <si>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</si>
  <si>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</si>
  <si>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</si>
  <si>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</si>
  <si>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</si>
  <si>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</si>
  <si>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</si>
  <si>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</si>
  <si>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</si>
  <si>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</si>
  <si>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</si>
  <si>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</si>
  <si>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</si>
  <si>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</si>
  <si>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</si>
  <si>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</si>
  <si>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</si>
  <si>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</si>
  <si>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</si>
  <si>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</si>
  <si>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</si>
  <si>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</si>
  <si>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</si>
  <si>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</si>
  <si>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</si>
  <si>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</si>
  <si>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</si>
  <si>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</si>
  <si>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</si>
  <si>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</si>
  <si>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</si>
  <si>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</si>
  <si>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</si>
  <si>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</si>
  <si>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</si>
  <si>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</si>
  <si>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</si>
  <si>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</si>
  <si>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</si>
  <si>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</si>
  <si>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</si>
  <si>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</si>
  <si>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</si>
  <si>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</si>
  <si>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</si>
  <si>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</si>
  <si>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</si>
  <si>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</si>
  <si>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</si>
  <si>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</si>
  <si>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</si>
  <si>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</si>
  <si>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</si>
  <si>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</si>
  <si>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</si>
  <si>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</si>
  <si>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</si>
  <si>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</si>
  <si>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</si>
  <si>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</si>
  <si>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</si>
  <si>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</si>
  <si>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</si>
  <si>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</si>
  <si>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</si>
  <si>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</si>
  <si>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</si>
  <si>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</si>
  <si>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</si>
  <si>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</si>
  <si>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</si>
  <si>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</si>
  <si>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</si>
  <si>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</si>
  <si>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</si>
  <si>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</si>
  <si>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</si>
  <si>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</si>
  <si>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</si>
  <si>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</si>
  <si>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</si>
  <si>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</si>
  <si>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</si>
  <si>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</si>
  <si>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</si>
  <si>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</si>
  <si>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</si>
  <si>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</si>
  <si>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</si>
  <si>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</si>
  <si>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</si>
  <si>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</si>
  <si>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</si>
  <si>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</si>
  <si>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</si>
  <si>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</si>
  <si>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</si>
  <si>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</si>
  <si>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</si>
  <si>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</si>
  <si>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</si>
  <si>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</si>
  <si>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</si>
  <si>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</si>
  <si>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</si>
  <si>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</si>
  <si>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</si>
  <si>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</si>
  <si>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</si>
  <si>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</si>
  <si>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</si>
  <si>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</si>
  <si>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</si>
  <si>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</si>
  <si>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</si>
  <si>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</si>
  <si>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</si>
  <si>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</si>
  <si>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</si>
  <si>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</si>
  <si>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</si>
  <si>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</si>
  <si>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</si>
  <si>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</si>
  <si>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</si>
  <si>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</si>
  <si>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</si>
  <si>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</si>
  <si>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</si>
  <si>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</si>
  <si>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</si>
  <si>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</si>
  <si>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</si>
  <si>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</si>
  <si>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</si>
  <si>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</si>
  <si>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</si>
  <si>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</si>
  <si>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</si>
  <si>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</si>
  <si>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</si>
  <si>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</si>
  <si>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</si>
  <si>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</si>
  <si>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</si>
  <si>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</si>
  <si>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</si>
  <si>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</si>
  <si>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</si>
  <si>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</si>
  <si>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</si>
  <si>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</si>
  <si>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</si>
  <si>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</si>
  <si>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</si>
  <si>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</si>
  <si>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</si>
  <si>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</si>
  <si>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</si>
  <si>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</si>
  <si>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</si>
  <si>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</si>
  <si>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</si>
  <si>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</si>
  <si>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</si>
  <si>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</si>
  <si>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</si>
  <si>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</si>
  <si>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</si>
  <si>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</si>
  <si>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</si>
  <si>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</si>
  <si>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</si>
  <si>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</si>
  <si>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</si>
  <si>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</si>
  <si>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</si>
  <si>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</si>
  <si>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</si>
  <si>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</si>
  <si>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</si>
  <si>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</si>
  <si>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</si>
  <si>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</si>
  <si>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</si>
  <si>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</si>
  <si>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</si>
  <si>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</si>
  <si>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</si>
  <si>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</si>
  <si>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</si>
  <si>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</si>
  <si>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</si>
  <si>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</si>
  <si>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</si>
  <si>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</si>
  <si>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</si>
  <si>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</si>
  <si>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</si>
  <si>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</si>
  <si>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</si>
  <si>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</si>
  <si>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</si>
  <si>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</si>
  <si>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</si>
  <si>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</si>
  <si>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</si>
  <si>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</si>
  <si>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</si>
  <si>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</si>
  <si>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</si>
  <si>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</si>
  <si>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</si>
  <si>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</si>
  <si>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</si>
  <si>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</si>
  <si>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</si>
  <si>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</si>
  <si>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</si>
  <si>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</si>
  <si>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</si>
  <si>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</si>
  <si>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</si>
  <si>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</si>
  <si>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</si>
  <si>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</si>
  <si>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</si>
  <si>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</si>
  <si>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</si>
  <si>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</si>
  <si>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</si>
  <si>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</si>
  <si>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</si>
  <si>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</si>
  <si>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</si>
  <si>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</si>
  <si>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</si>
  <si>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</si>
  <si>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</si>
  <si>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</si>
  <si>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</si>
  <si>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</si>
  <si>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</si>
  <si>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</si>
  <si>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</si>
  <si>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</si>
  <si>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</si>
  <si>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</si>
  <si>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</si>
  <si>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</si>
  <si>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</si>
  <si>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</si>
  <si>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</si>
  <si>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</si>
  <si>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</si>
  <si>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</si>
  <si>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</si>
  <si>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</si>
  <si>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</si>
  <si>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</si>
  <si>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</si>
  <si>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</si>
  <si>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</si>
  <si>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</si>
  <si>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</si>
  <si>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</si>
  <si>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</si>
  <si>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</si>
  <si>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</si>
  <si>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</si>
  <si>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</si>
  <si>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</si>
  <si>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</si>
  <si>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</si>
  <si>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</si>
  <si>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</si>
  <si>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</si>
  <si>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</si>
  <si>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</si>
  <si>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</si>
  <si>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</si>
  <si>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</si>
  <si>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</si>
  <si>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</si>
  <si>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</si>
  <si>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</si>
  <si>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</si>
  <si>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</si>
  <si>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</si>
  <si>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</si>
  <si>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</si>
  <si>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</si>
  <si>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</si>
  <si>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</si>
  <si>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</si>
  <si>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</si>
  <si>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</si>
  <si>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</si>
  <si>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</si>
  <si>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</si>
  <si>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</si>
  <si>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</si>
  <si>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</si>
  <si>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</si>
  <si>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</si>
  <si>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</si>
  <si>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</si>
  <si>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</si>
  <si>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</si>
  <si>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</si>
  <si>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</si>
  <si>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</si>
  <si>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</si>
  <si>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</si>
  <si>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</si>
  <si>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</si>
  <si>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</si>
  <si>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</si>
  <si>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</si>
  <si>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</si>
  <si>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</si>
  <si>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</si>
  <si>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</si>
  <si>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</si>
  <si>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</si>
  <si>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</si>
  <si>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</si>
  <si>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</si>
  <si>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</si>
  <si>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</si>
  <si>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</si>
  <si>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</si>
  <si>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</si>
  <si>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</si>
  <si>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</si>
  <si>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</si>
  <si>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</si>
  <si>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</si>
  <si>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</si>
  <si>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</si>
  <si>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</si>
  <si>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</si>
  <si>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</si>
  <si>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</si>
  <si>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</si>
  <si>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</si>
  <si>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</si>
  <si>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</si>
  <si>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</si>
  <si>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</si>
  <si>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</si>
  <si>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</si>
  <si>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</si>
  <si>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</si>
  <si>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</si>
  <si>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</si>
  <si>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</si>
  <si>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</si>
  <si>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</si>
  <si>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</si>
  <si>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</si>
  <si>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</si>
  <si>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</si>
  <si>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</si>
  <si>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</si>
  <si>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</si>
  <si>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</si>
  <si>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</si>
  <si>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</si>
  <si>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</si>
  <si>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</si>
  <si>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</si>
  <si>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</si>
  <si>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</si>
  <si>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</si>
  <si>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</si>
  <si>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</si>
  <si>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</si>
  <si>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</si>
  <si>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</si>
  <si>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</si>
  <si>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</si>
  <si>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</si>
  <si>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</si>
  <si>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</si>
  <si>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</si>
  <si>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</si>
  <si>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</si>
  <si>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</si>
  <si>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</si>
  <si>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</si>
  <si>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</si>
  <si>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</si>
  <si>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</si>
  <si>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</si>
  <si>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</si>
  <si>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</si>
  <si>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</si>
  <si>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</si>
  <si>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</si>
  <si>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</si>
  <si>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</si>
  <si>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</si>
  <si>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</si>
  <si>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</si>
  <si>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</si>
  <si>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</si>
  <si>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</si>
  <si>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</si>
  <si>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</si>
  <si>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</si>
  <si>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</si>
  <si>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</si>
  <si>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</si>
  <si>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</si>
  <si>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</si>
  <si>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</si>
  <si>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</si>
  <si>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</si>
  <si>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</si>
  <si>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</si>
  <si>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</si>
  <si>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</si>
  <si>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</si>
  <si>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</si>
  <si>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</si>
  <si>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</si>
  <si>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</si>
  <si>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</si>
  <si>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</si>
  <si>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</si>
  <si>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</si>
  <si>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</si>
  <si>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</si>
  <si>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</si>
  <si>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</si>
  <si>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</si>
  <si>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</si>
  <si>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</si>
  <si>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</si>
  <si>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</si>
  <si>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</si>
  <si>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</si>
  <si>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</si>
  <si>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</si>
  <si>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</si>
  <si>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</si>
  <si>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</si>
  <si>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</si>
  <si>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</si>
  <si>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</si>
  <si>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</si>
  <si>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</si>
  <si>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</si>
  <si>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</si>
  <si>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</si>
  <si>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</si>
  <si>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</si>
  <si>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</si>
  <si>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</si>
  <si>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</si>
  <si>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</si>
  <si>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</si>
  <si>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</si>
  <si>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</si>
  <si>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</si>
  <si>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</si>
  <si>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</si>
  <si>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</si>
  <si>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</si>
  <si>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</si>
  <si>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</si>
  <si>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</si>
  <si>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</si>
  <si>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</si>
  <si>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</si>
  <si>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</si>
  <si>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</si>
  <si>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</si>
  <si>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</si>
  <si>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</si>
  <si>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</si>
  <si>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</si>
  <si>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</si>
  <si>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</si>
  <si>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</si>
  <si>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</si>
  <si>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</si>
  <si>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</si>
  <si>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</si>
  <si>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</si>
  <si>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</si>
  <si>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</si>
  <si>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</si>
  <si>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</si>
  <si>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</si>
  <si>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</si>
  <si>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</si>
  <si>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</si>
  <si>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</si>
  <si>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</si>
  <si>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</si>
  <si>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</si>
  <si>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</si>
  <si>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</si>
  <si>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</si>
  <si>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</si>
  <si>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</si>
  <si>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</si>
  <si>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</si>
  <si>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</si>
  <si>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</si>
  <si>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</si>
  <si>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</si>
  <si>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</si>
  <si>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</si>
  <si>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</si>
  <si>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</si>
  <si>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</si>
  <si>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</si>
  <si>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</si>
  <si>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</si>
  <si>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</si>
  <si>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</si>
  <si>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</si>
  <si>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</si>
  <si>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</si>
  <si>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</si>
  <si>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</si>
  <si>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</si>
  <si>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</si>
  <si>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</si>
  <si>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</si>
  <si>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</si>
  <si>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</si>
  <si>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</si>
  <si>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</si>
  <si>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</si>
  <si>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</si>
  <si>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</si>
  <si>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</si>
  <si>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</si>
  <si>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</si>
  <si>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</si>
  <si>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</si>
  <si>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</si>
  <si>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</si>
  <si>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</si>
  <si>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</si>
  <si>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</si>
  <si>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</si>
  <si>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</si>
  <si>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</si>
  <si>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</si>
  <si>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</si>
  <si>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</si>
  <si>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</si>
  <si>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</si>
  <si>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</si>
  <si>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</si>
  <si>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</si>
  <si>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</si>
  <si>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</si>
  <si>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</si>
  <si>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</si>
  <si>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</si>
  <si>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</si>
  <si>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</si>
  <si>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</si>
  <si>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</si>
  <si>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</si>
  <si>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</si>
  <si>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</si>
  <si>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</si>
  <si>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</si>
  <si>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</si>
  <si>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</si>
  <si>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</si>
  <si>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</si>
  <si>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</si>
  <si>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</si>
  <si>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</si>
  <si>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</si>
  <si>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</si>
  <si>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</si>
  <si>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</si>
  <si>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</si>
  <si>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</si>
  <si>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</si>
  <si>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</si>
  <si>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</si>
  <si>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</si>
  <si>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</si>
  <si>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</si>
  <si>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</si>
  <si>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</si>
  <si>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</si>
  <si>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</si>
  <si>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</si>
  <si>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</si>
  <si>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</si>
  <si>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</si>
  <si>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</si>
  <si>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</si>
  <si>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</si>
  <si>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</si>
  <si>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</si>
  <si>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</si>
  <si>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</si>
  <si>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</si>
  <si>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</si>
  <si>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</si>
  <si>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</si>
  <si>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</si>
  <si>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</si>
  <si>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</si>
  <si>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</si>
  <si>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</si>
  <si>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</si>
  <si>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</si>
  <si>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</si>
  <si>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</si>
  <si>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</si>
  <si>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</si>
  <si>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</si>
  <si>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</si>
  <si>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</si>
  <si>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</si>
  <si>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</si>
  <si>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</si>
  <si>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</si>
  <si>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</si>
  <si>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</si>
  <si>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</si>
  <si>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</si>
  <si>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</si>
  <si>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</si>
  <si>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</si>
  <si>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</si>
  <si>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</si>
  <si>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</si>
  <si>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</si>
  <si>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</si>
  <si>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</si>
  <si>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</si>
  <si>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</si>
  <si>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</si>
  <si>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</si>
  <si>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</si>
  <si>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</si>
  <si>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</si>
  <si>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</si>
  <si>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</si>
  <si>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</si>
  <si>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</si>
  <si>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</si>
  <si>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</si>
  <si>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</si>
  <si>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</si>
  <si>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</si>
  <si>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</si>
  <si>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</si>
  <si>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</si>
  <si>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</si>
  <si>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</si>
  <si>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</si>
  <si>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</si>
  <si>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</si>
  <si>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</si>
  <si>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</si>
  <si>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</si>
  <si>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</si>
  <si>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</si>
  <si>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</si>
  <si>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</si>
  <si>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</si>
  <si>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</si>
  <si>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</si>
  <si>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</si>
  <si>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</si>
  <si>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</si>
  <si>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</si>
  <si>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</si>
  <si>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</si>
  <si>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</si>
  <si>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</si>
  <si>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</si>
  <si>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</si>
  <si>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</si>
  <si>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</si>
  <si>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</si>
  <si>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</si>
  <si>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</si>
  <si>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</si>
  <si>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</si>
  <si>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</si>
  <si>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</si>
  <si>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</si>
  <si>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</si>
  <si>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</si>
  <si>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</si>
  <si>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</si>
  <si>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</si>
  <si>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</si>
  <si>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</si>
  <si>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</si>
  <si>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</si>
  <si>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</si>
  <si>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</si>
  <si>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</si>
  <si>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</si>
  <si>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</si>
  <si>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</si>
  <si>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</si>
  <si>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</si>
  <si>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</si>
  <si>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</si>
  <si>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</si>
  <si>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</si>
  <si>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</si>
  <si>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</si>
  <si>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</si>
  <si>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</si>
  <si>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</si>
  <si>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</si>
  <si>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</si>
  <si>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</si>
  <si>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</si>
  <si>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</si>
  <si>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</si>
  <si>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</si>
  <si>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</si>
  <si>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</si>
  <si>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</si>
  <si>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</si>
  <si>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</si>
  <si>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</si>
  <si>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</si>
  <si>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</si>
  <si>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</si>
  <si>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</si>
  <si>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</si>
  <si>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</si>
  <si>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</si>
  <si>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</si>
  <si>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</si>
  <si>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</si>
  <si>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</si>
  <si>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</si>
  <si>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</si>
  <si>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</si>
  <si>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</si>
  <si>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</si>
  <si>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</si>
  <si>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</si>
  <si>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</si>
  <si>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</si>
  <si>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</si>
  <si>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</si>
  <si>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</si>
  <si>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</si>
  <si>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</si>
  <si>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</si>
  <si>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</si>
  <si>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</si>
  <si>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</si>
  <si>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</si>
  <si>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</si>
  <si>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</si>
  <si>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</si>
  <si>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</si>
  <si>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</si>
  <si>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</si>
  <si>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</si>
  <si>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</si>
  <si>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</si>
  <si>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</si>
  <si>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</si>
  <si>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</si>
  <si>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</si>
  <si>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</si>
  <si>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</si>
  <si>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</si>
  <si>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</si>
  <si>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</si>
  <si>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</si>
  <si>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</si>
  <si>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</si>
  <si>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</si>
  <si>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</si>
  <si>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</si>
  <si>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</si>
  <si>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</si>
  <si>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</si>
  <si>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</si>
  <si>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</si>
  <si>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</si>
  <si>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</si>
  <si>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</si>
  <si>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</si>
  <si>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</si>
  <si>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</si>
  <si>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</si>
  <si>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</si>
  <si>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</si>
  <si>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</si>
  <si>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</si>
  <si>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</si>
  <si>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</si>
  <si>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</si>
  <si>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</si>
  <si>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</si>
  <si>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</si>
  <si>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</si>
  <si>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</si>
  <si>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</si>
  <si>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</si>
  <si>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</si>
  <si>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</si>
  <si>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</si>
  <si>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</si>
  <si>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</si>
  <si>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</si>
  <si>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</si>
  <si>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</si>
  <si>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</si>
  <si>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</si>
  <si>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</si>
  <si>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</si>
  <si>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</si>
  <si>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</si>
  <si>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</si>
  <si>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</si>
  <si>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</si>
  <si>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</si>
  <si>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</si>
  <si>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</si>
  <si>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</si>
  <si>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</si>
  <si>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</si>
  <si>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</si>
  <si>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</si>
  <si>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</si>
  <si>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</si>
  <si>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</si>
  <si>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</si>
  <si>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</si>
  <si>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</si>
  <si>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</si>
  <si>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</si>
  <si>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</si>
  <si>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</si>
  <si>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</si>
  <si>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</si>
  <si>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</si>
  <si>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</si>
  <si>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</si>
  <si>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</si>
  <si>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</si>
  <si>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</si>
  <si>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</si>
  <si>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</si>
  <si>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</si>
  <si>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</si>
  <si>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</si>
  <si>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</si>
  <si>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</si>
  <si>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</si>
  <si>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</si>
  <si>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</si>
  <si>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</si>
  <si>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</si>
  <si>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</si>
  <si>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</si>
  <si>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</si>
  <si>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</si>
  <si>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</si>
  <si>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</si>
  <si>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</si>
  <si>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</si>
  <si>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</si>
  <si>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</si>
  <si>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</si>
  <si>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</si>
  <si>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</si>
  <si>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</si>
  <si>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</si>
  <si>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</si>
  <si>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</si>
  <si>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</si>
  <si>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</si>
  <si>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</si>
  <si>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</si>
  <si>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</si>
  <si>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</si>
  <si>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</si>
  <si>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</si>
  <si>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</si>
  <si>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</si>
  <si>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</si>
  <si>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</si>
  <si>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</si>
  <si>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</si>
  <si>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</si>
  <si>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</si>
  <si>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</si>
  <si>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</si>
  <si>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</si>
  <si>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</si>
  <si>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</si>
  <si>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</si>
  <si>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</si>
  <si>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</si>
  <si>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</si>
  <si>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</si>
  <si>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</si>
  <si>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</si>
  <si>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</si>
  <si>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</si>
  <si>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</si>
  <si>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</si>
  <si>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</si>
  <si>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</si>
  <si>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</si>
  <si>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</si>
  <si>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</si>
  <si>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</si>
  <si>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</si>
  <si>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</si>
  <si>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</si>
  <si>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</si>
  <si>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</si>
  <si>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</si>
  <si>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</si>
  <si>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</si>
  <si>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</si>
  <si>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</si>
  <si>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</si>
  <si>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</si>
  <si>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</si>
  <si>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</si>
  <si>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</si>
  <si>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</si>
  <si>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</si>
  <si>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</si>
  <si>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</si>
  <si>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</si>
  <si>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</si>
  <si>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</si>
  <si>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</si>
  <si>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</si>
  <si>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</si>
  <si>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</si>
  <si>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</si>
  <si>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</si>
  <si>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</si>
  <si>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</si>
  <si>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</si>
  <si>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</si>
  <si>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</si>
  <si>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</si>
  <si>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</si>
  <si>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</si>
  <si>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</si>
  <si>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</si>
  <si>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</si>
  <si>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</si>
  <si>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</si>
  <si>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</si>
  <si>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</si>
  <si>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</si>
  <si>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</si>
  <si>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</si>
  <si>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</si>
  <si>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</si>
  <si>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</si>
  <si>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</si>
  <si>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</si>
  <si>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</si>
  <si>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</si>
  <si>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</si>
  <si>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</si>
  <si>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</si>
  <si>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</si>
  <si>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</si>
  <si>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</si>
  <si>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</si>
  <si>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</si>
  <si>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</si>
  <si>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</si>
  <si>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</si>
  <si>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</si>
  <si>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</si>
  <si>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</si>
  <si>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</si>
  <si>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</si>
  <si>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</si>
  <si>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</si>
  <si>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</si>
  <si>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</si>
  <si>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</si>
  <si>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</si>
  <si>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</si>
  <si>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</si>
  <si>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</si>
  <si>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</si>
  <si>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</si>
  <si>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</si>
  <si>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</si>
  <si>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</si>
  <si>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</si>
  <si>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</si>
  <si>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</si>
  <si>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</si>
  <si>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</si>
  <si>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</si>
  <si>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</si>
  <si>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</si>
  <si>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</si>
  <si>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</si>
  <si>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</si>
  <si>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</si>
  <si>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</si>
  <si>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</si>
  <si>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</si>
  <si>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</si>
  <si>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</si>
  <si>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</si>
  <si>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</si>
  <si>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</si>
  <si>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</si>
  <si>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</si>
  <si>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</si>
  <si>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</si>
  <si>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</si>
  <si>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</si>
  <si>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</si>
  <si>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</si>
  <si>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</si>
  <si>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</si>
  <si>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</si>
  <si>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</si>
  <si>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</si>
  <si>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</si>
  <si>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</si>
  <si>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</si>
  <si>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</si>
  <si>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</si>
  <si>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</si>
  <si>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</si>
  <si>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</si>
  <si>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</si>
  <si>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</si>
  <si>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</si>
  <si>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</si>
  <si>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</si>
  <si>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</si>
  <si>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</si>
  <si>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</si>
  <si>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</si>
  <si>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</si>
  <si>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</si>
  <si>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</si>
  <si>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</si>
  <si>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</si>
  <si>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</si>
  <si>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</si>
  <si>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</si>
  <si>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</si>
  <si>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</si>
  <si>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</si>
  <si>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</si>
  <si>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</si>
  <si>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</si>
  <si>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</si>
  <si>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</si>
  <si>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</si>
  <si>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</si>
  <si>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</si>
  <si>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</si>
  <si>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</si>
  <si>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</si>
  <si>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</si>
  <si>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</si>
  <si>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</si>
  <si>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</si>
  <si>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</si>
  <si>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</si>
  <si>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</si>
  <si>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</si>
  <si>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</si>
  <si>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</si>
  <si>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</si>
  <si>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</si>
  <si>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</si>
  <si>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</si>
  <si>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</si>
  <si>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</si>
  <si>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</si>
  <si>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</si>
  <si>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</si>
  <si>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</si>
  <si>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</si>
  <si>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</si>
  <si>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</si>
  <si>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</si>
  <si>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</si>
  <si>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</si>
  <si>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</si>
  <si>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</si>
  <si>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</si>
  <si>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</si>
  <si>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</si>
  <si>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</si>
  <si>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</si>
  <si>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</si>
  <si>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</si>
  <si>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</si>
  <si>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</si>
  <si>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</si>
  <si>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</si>
  <si>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</si>
  <si>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</si>
  <si>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</si>
  <si>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</si>
  <si>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</si>
  <si>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</si>
  <si>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</si>
  <si>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</si>
  <si>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</si>
  <si>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</si>
  <si>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</si>
  <si>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</si>
  <si>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</si>
  <si>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</si>
  <si>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</si>
  <si>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</si>
  <si>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</si>
  <si>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</si>
  <si>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</si>
  <si>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</si>
  <si>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</si>
  <si>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</si>
  <si>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</si>
  <si>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</si>
  <si>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</si>
  <si>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</si>
  <si>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</si>
  <si>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</si>
  <si>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</si>
  <si>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</si>
  <si>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</si>
  <si>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</si>
  <si>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</si>
  <si>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</si>
  <si>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</si>
  <si>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</si>
  <si>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</si>
  <si>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</si>
  <si>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</si>
  <si>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</si>
  <si>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</si>
  <si>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</si>
  <si>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</si>
  <si>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</si>
  <si>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</si>
  <si>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</si>
  <si>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</si>
  <si>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</si>
  <si>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</si>
  <si>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</si>
  <si>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</si>
  <si>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</si>
  <si>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</si>
  <si>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</si>
  <si>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</si>
  <si>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</si>
  <si>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</si>
  <si>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</si>
  <si>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</si>
  <si>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</si>
  <si>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</si>
  <si>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</si>
  <si>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</si>
  <si>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</si>
  <si>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</si>
  <si>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</si>
  <si>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</si>
  <si>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</si>
  <si>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</si>
  <si>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</si>
  <si>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</si>
  <si>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</si>
  <si>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</si>
  <si>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</si>
  <si>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</si>
  <si>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</si>
  <si>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</si>
  <si>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</si>
  <si>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</si>
  <si>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</si>
  <si>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</si>
  <si>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</si>
  <si>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</si>
  <si>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</si>
  <si>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</si>
  <si>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</si>
  <si>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</si>
  <si>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</si>
  <si>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</si>
  <si>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</si>
  <si>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</si>
  <si>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</si>
  <si>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</si>
  <si>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</si>
  <si>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</si>
  <si>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</si>
  <si>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</si>
  <si>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</si>
  <si>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</si>
  <si>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</si>
  <si>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</si>
  <si>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</si>
  <si>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</si>
  <si>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</si>
  <si>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</si>
  <si>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</si>
  <si>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</si>
  <si>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</si>
  <si>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</si>
  <si>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</si>
  <si>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</si>
  <si>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</si>
  <si>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</si>
  <si>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</si>
  <si>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</si>
  <si>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</si>
  <si>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</si>
  <si>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</si>
  <si>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</si>
  <si>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</si>
  <si>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</si>
  <si>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</si>
  <si>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</si>
  <si>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</si>
  <si>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</si>
  <si>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</si>
  <si>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</si>
  <si>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</si>
  <si>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</si>
  <si>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</si>
  <si>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</si>
  <si>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</si>
  <si>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</si>
  <si>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</si>
  <si>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</si>
  <si>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</si>
  <si>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</si>
  <si>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</si>
  <si>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</si>
  <si>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</si>
  <si>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</si>
  <si>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</si>
  <si>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</si>
  <si>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</si>
  <si>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</si>
  <si>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</si>
  <si>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</si>
  <si>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</si>
  <si>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</si>
  <si>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</si>
  <si>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</si>
  <si>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</si>
  <si>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</si>
  <si>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</si>
  <si>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</si>
  <si>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</si>
  <si>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</si>
  <si>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</si>
  <si>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</si>
  <si>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</si>
  <si>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</si>
  <si>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</si>
  <si>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</si>
  <si>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</si>
  <si>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</si>
  <si>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</si>
  <si>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</si>
  <si>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</si>
  <si>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</si>
  <si>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</si>
  <si>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</si>
  <si>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</si>
  <si>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</si>
  <si>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</si>
  <si>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</si>
  <si>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</si>
  <si>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</si>
  <si>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</si>
  <si>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</si>
  <si>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</si>
  <si>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</si>
  <si>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</si>
  <si>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</si>
  <si>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</si>
  <si>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</si>
  <si>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</si>
  <si>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</si>
  <si>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</si>
  <si>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</si>
  <si>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</si>
  <si>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</si>
  <si>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</si>
  <si>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</si>
  <si>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</si>
  <si>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</si>
  <si>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</si>
  <si>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</si>
  <si>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</si>
  <si>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</si>
  <si>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</si>
  <si>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</si>
  <si>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</si>
  <si>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</si>
  <si>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</si>
  <si>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</si>
  <si>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</si>
  <si>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</si>
  <si>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</si>
  <si>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</si>
  <si>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</si>
  <si>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</si>
  <si>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</si>
  <si>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</si>
  <si>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</si>
  <si>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</si>
  <si>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</si>
  <si>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</si>
  <si>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</si>
  <si>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</si>
  <si>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</si>
  <si>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</si>
  <si>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</si>
  <si>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</si>
  <si>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</si>
  <si>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</si>
  <si>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</si>
  <si>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</si>
  <si>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</si>
  <si>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</si>
  <si>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</si>
  <si>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</si>
  <si>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</si>
  <si>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</si>
  <si>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</si>
  <si>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</si>
  <si>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</si>
  <si>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</si>
  <si>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</si>
  <si>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</si>
  <si>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</si>
  <si>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</si>
  <si>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</si>
  <si>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</si>
  <si>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</si>
  <si>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</si>
  <si>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</si>
  <si>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</si>
  <si>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</si>
  <si>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</si>
  <si>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</si>
  <si>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</si>
  <si>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</si>
  <si>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</si>
  <si>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</si>
  <si>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</si>
  <si>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</si>
  <si>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</si>
  <si>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</si>
  <si>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</si>
  <si>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</si>
  <si>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</si>
  <si>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</si>
  <si>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</si>
  <si>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</si>
  <si>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</si>
  <si>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</si>
  <si>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</si>
  <si>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</si>
  <si>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</si>
  <si>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</si>
  <si>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</si>
  <si>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</si>
  <si>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</si>
  <si>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</si>
  <si>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</si>
  <si>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</si>
  <si>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</si>
  <si>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</si>
  <si>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</si>
  <si>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</si>
  <si>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</si>
  <si>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</si>
  <si>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</si>
  <si>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</si>
  <si>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</si>
  <si>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</si>
  <si>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</si>
  <si>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</si>
  <si>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</si>
  <si>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</si>
  <si>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</si>
  <si>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</si>
  <si>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</si>
  <si>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</si>
  <si>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</si>
  <si>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</si>
  <si>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</si>
  <si>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</si>
  <si>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</si>
  <si>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</si>
  <si>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</si>
  <si>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</si>
  <si>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</si>
  <si>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</si>
  <si>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</si>
  <si>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</si>
  <si>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</si>
  <si>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</si>
  <si>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</si>
  <si>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</si>
  <si>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</si>
  <si>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</si>
  <si>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</si>
  <si>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</si>
  <si>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</si>
  <si>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</si>
  <si>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</si>
  <si>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</si>
  <si>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</si>
  <si>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</si>
  <si>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</si>
  <si>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</si>
  <si>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</si>
  <si>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</si>
  <si>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</si>
  <si>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</si>
  <si>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</si>
  <si>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</si>
  <si>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</si>
  <si>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</si>
  <si>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</si>
  <si>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</si>
  <si>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</si>
  <si>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</si>
  <si>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</si>
  <si>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</si>
  <si>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</si>
  <si>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</si>
  <si>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</si>
  <si>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</si>
  <si>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</si>
  <si>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</si>
  <si>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</si>
  <si>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</si>
  <si>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</si>
  <si>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</si>
  <si>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</si>
  <si>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</si>
  <si>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</si>
  <si>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</si>
  <si>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</si>
  <si>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</si>
  <si>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</si>
  <si>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</si>
  <si>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</si>
  <si>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</si>
  <si>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</si>
  <si>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</si>
  <si>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</si>
  <si>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</si>
  <si>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</si>
  <si>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</si>
  <si>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</si>
  <si>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</si>
  <si>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</si>
  <si>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</si>
  <si>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</si>
  <si>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</si>
  <si>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</si>
  <si>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</si>
  <si>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</si>
  <si>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</si>
  <si>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</si>
  <si>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</si>
  <si>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</si>
  <si>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</si>
  <si>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</si>
  <si>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</si>
  <si>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</si>
  <si>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</si>
  <si>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</si>
  <si>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</si>
  <si>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</si>
  <si>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</si>
  <si>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</si>
  <si>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</si>
  <si>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</si>
  <si>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</si>
  <si>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</si>
  <si>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</si>
  <si>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</si>
  <si>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</si>
  <si>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</si>
  <si>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</si>
  <si>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</si>
  <si>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</si>
  <si>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</si>
  <si>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</si>
  <si>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</si>
  <si>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</si>
  <si>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</si>
  <si>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</si>
  <si>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</si>
  <si>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</si>
  <si>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</si>
  <si>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</si>
  <si>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</si>
  <si>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</si>
  <si>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</si>
  <si>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</si>
  <si>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</si>
  <si>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</si>
  <si>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</si>
  <si>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</si>
  <si>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</si>
  <si>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</si>
  <si>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</si>
  <si>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</si>
  <si>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</si>
  <si>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</si>
  <si>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</si>
  <si>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</si>
  <si>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</si>
  <si>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</si>
  <si>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</si>
  <si>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</si>
  <si>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</si>
  <si>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</si>
  <si>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</si>
  <si>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</si>
  <si>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</si>
  <si>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</si>
  <si>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</si>
  <si>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</si>
  <si>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</si>
  <si>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</si>
  <si>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</si>
  <si>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</si>
  <si>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</si>
  <si>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</si>
  <si>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</si>
  <si>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</si>
  <si>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</si>
  <si>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</si>
  <si>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</si>
  <si>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</si>
  <si>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</si>
  <si>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</si>
  <si>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</si>
  <si>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</si>
  <si>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</si>
  <si>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</si>
  <si>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</si>
  <si>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</si>
  <si>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</si>
  <si>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</si>
  <si>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</si>
  <si>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</si>
  <si>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</si>
  <si>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</si>
  <si>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</si>
  <si>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</si>
  <si>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</si>
  <si>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</si>
  <si>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</si>
  <si>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</si>
  <si>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</si>
  <si>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</si>
  <si>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</si>
  <si>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</si>
  <si>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</si>
  <si>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</si>
  <si>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</si>
  <si>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</si>
  <si>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</si>
  <si>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</si>
  <si>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</si>
  <si>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</si>
  <si>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</si>
  <si>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</si>
  <si>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</si>
  <si>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</si>
  <si>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</si>
  <si>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</si>
  <si>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</si>
  <si>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</si>
  <si>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</si>
  <si>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</si>
  <si>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</si>
  <si>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</si>
  <si>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</si>
  <si>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</si>
  <si>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</si>
  <si>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</si>
  <si>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</si>
  <si>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</si>
  <si>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</si>
  <si>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</si>
  <si>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</si>
  <si>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</si>
  <si>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</si>
  <si>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</si>
  <si>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</si>
  <si>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</si>
  <si>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</si>
  <si>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</si>
  <si>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</si>
  <si>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</si>
  <si>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</si>
  <si>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</si>
  <si>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</si>
  <si>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</si>
  <si>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</si>
  <si>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</si>
  <si>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</si>
  <si>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</si>
  <si>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</si>
  <si>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</si>
  <si>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</si>
  <si>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</si>
  <si>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</si>
  <si>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</si>
  <si>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</si>
  <si>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</si>
  <si>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</si>
  <si>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</si>
  <si>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</si>
  <si>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</si>
  <si>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</si>
  <si>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</si>
  <si>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</si>
  <si>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</si>
  <si>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</si>
  <si>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</si>
  <si>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</si>
  <si>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</si>
  <si>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</si>
  <si>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</si>
  <si>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</si>
  <si>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</si>
  <si>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</si>
  <si>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</si>
  <si>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</si>
  <si>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</si>
  <si>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</si>
  <si>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</si>
  <si>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</si>
  <si>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</si>
  <si>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</si>
  <si>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</si>
  <si>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</si>
  <si>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</si>
  <si>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</si>
  <si>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</si>
  <si>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</si>
  <si>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</si>
  <si>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</si>
  <si>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</si>
  <si>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</si>
  <si>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</si>
  <si>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</si>
  <si>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</si>
  <si>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</si>
  <si>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</si>
  <si>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</si>
  <si>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</si>
  <si>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</si>
  <si>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</si>
  <si>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</si>
  <si>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</si>
  <si>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</si>
  <si>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</si>
  <si>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</si>
  <si>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</si>
  <si>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</si>
  <si>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</si>
  <si>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</si>
  <si>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</si>
  <si>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</si>
  <si>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</si>
  <si>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</si>
  <si>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</si>
  <si>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</si>
  <si>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</si>
  <si>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</si>
  <si>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</si>
  <si>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</si>
  <si>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</si>
  <si>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</si>
  <si>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</si>
  <si>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</si>
  <si>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</si>
  <si>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</si>
  <si>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</si>
  <si>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</si>
  <si>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</si>
  <si>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</si>
  <si>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</si>
  <si>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</si>
  <si>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</si>
  <si>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</si>
  <si>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</si>
  <si>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</si>
  <si>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</si>
  <si>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</si>
  <si>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</si>
  <si>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</si>
  <si>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</si>
  <si>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</si>
  <si>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</si>
  <si>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</si>
  <si>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</si>
  <si>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</si>
  <si>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</si>
  <si>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</si>
  <si>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</si>
  <si>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</si>
  <si>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</si>
  <si>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</si>
  <si>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</si>
  <si>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</si>
  <si>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</si>
  <si>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</si>
  <si>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</si>
  <si>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</si>
  <si>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</si>
  <si>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</si>
  <si>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</si>
  <si>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</si>
  <si>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</si>
  <si>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</si>
  <si>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</si>
  <si>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</si>
  <si>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</si>
  <si>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</si>
  <si>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</si>
  <si>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</si>
  <si>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</si>
  <si>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</si>
  <si>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</si>
  <si>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</si>
  <si>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</si>
  <si>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</si>
  <si>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</si>
  <si>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</si>
  <si>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</si>
  <si>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</si>
  <si>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</si>
  <si>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</si>
  <si>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</si>
  <si>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</si>
  <si>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</si>
  <si>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</si>
  <si>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</si>
  <si>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</si>
  <si>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</si>
  <si>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</si>
  <si>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</si>
  <si>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</si>
  <si>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</si>
  <si>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</si>
  <si>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</si>
  <si>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</si>
  <si>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</si>
  <si>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</si>
  <si>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</si>
  <si>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</si>
  <si>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</si>
  <si>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</si>
  <si>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</si>
  <si>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</si>
  <si>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</si>
  <si>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</si>
  <si>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</si>
  <si>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</si>
  <si>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</si>
  <si>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</si>
  <si>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</si>
  <si>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</si>
  <si>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</si>
  <si>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</si>
  <si>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</si>
  <si>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</si>
  <si>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</si>
  <si>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</si>
  <si>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</si>
  <si>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</si>
  <si>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</si>
  <si>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</si>
  <si>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</si>
  <si>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</si>
  <si>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</si>
  <si>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</si>
  <si>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</si>
  <si>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</si>
  <si>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</si>
  <si>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</si>
  <si>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</si>
  <si>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</si>
  <si>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</si>
  <si>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</si>
  <si>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</si>
  <si>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</si>
  <si>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</si>
  <si>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</si>
  <si>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</si>
  <si>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</si>
  <si>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</si>
  <si>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</si>
  <si>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</si>
  <si>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</si>
  <si>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</si>
  <si>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</si>
  <si>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</si>
  <si>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</si>
  <si>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</si>
  <si>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</si>
  <si>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</si>
  <si>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</si>
  <si>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</si>
  <si>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</si>
  <si>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</si>
  <si>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</si>
  <si>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</si>
  <si>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</si>
  <si>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</si>
  <si>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</si>
  <si>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</si>
  <si>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</si>
  <si>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</si>
  <si>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</si>
  <si>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</si>
  <si>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</si>
  <si>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</si>
  <si>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</si>
  <si>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</si>
  <si>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</si>
  <si>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</si>
  <si>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</si>
  <si>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</si>
  <si>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</si>
  <si>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</si>
  <si>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</si>
  <si>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</si>
  <si>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</si>
  <si>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</si>
  <si>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</si>
  <si>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</si>
  <si>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</si>
  <si>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</si>
  <si>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</si>
  <si>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</si>
  <si>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</si>
  <si>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</si>
  <si>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</si>
  <si>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</si>
  <si>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</si>
  <si>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</si>
  <si>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</si>
  <si>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</si>
  <si>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</si>
  <si>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</si>
  <si>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</si>
  <si>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</si>
  <si>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</si>
  <si>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</si>
  <si>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</si>
  <si>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</si>
  <si>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</si>
  <si>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</si>
  <si>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</si>
  <si>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</si>
  <si>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</si>
  <si>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</si>
  <si>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</si>
  <si>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</si>
  <si>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</si>
  <si>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</si>
  <si>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</si>
  <si>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</si>
  <si>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</si>
  <si>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</si>
  <si>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</si>
  <si>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</si>
  <si>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</si>
  <si>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</si>
  <si>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</si>
  <si>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</si>
  <si>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</si>
  <si>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</si>
  <si>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</si>
  <si>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</si>
  <si>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</si>
  <si>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</si>
  <si>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</si>
  <si>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</si>
  <si>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</si>
  <si>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</si>
  <si>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</si>
  <si>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</si>
  <si>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</si>
  <si>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</si>
  <si>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</si>
  <si>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</si>
  <si>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</si>
  <si>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</si>
  <si>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</si>
  <si>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</si>
  <si>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</si>
  <si>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</si>
  <si>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</si>
  <si>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</si>
  <si>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</si>
  <si>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</si>
  <si>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</si>
  <si>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</si>
  <si>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</si>
  <si>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</si>
  <si>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</si>
  <si>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</si>
  <si>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</si>
  <si>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</si>
  <si>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</si>
  <si>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</si>
  <si>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</si>
  <si>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</si>
  <si>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</si>
  <si>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</si>
  <si>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</si>
  <si>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</si>
  <si>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</si>
  <si>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</si>
  <si>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</si>
  <si>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</si>
  <si>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</si>
  <si>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</si>
  <si>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</si>
  <si>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</si>
  <si>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</si>
  <si>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</si>
  <si>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</si>
  <si>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</si>
  <si>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</si>
  <si>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</si>
  <si>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</si>
  <si>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</si>
  <si>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</si>
  <si>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</si>
  <si>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</si>
  <si>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</si>
  <si>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</si>
  <si>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</si>
  <si>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</si>
  <si>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</si>
  <si>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</si>
  <si>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</si>
  <si>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</si>
  <si>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</si>
  <si>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</si>
  <si>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</si>
  <si>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</si>
  <si>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</si>
  <si>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</si>
  <si>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</si>
  <si>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</si>
  <si>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</si>
  <si>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</si>
  <si>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</si>
  <si>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</si>
  <si>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</si>
  <si>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</si>
  <si>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</si>
  <si>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</si>
  <si>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</si>
  <si>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</si>
  <si>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</si>
  <si>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</si>
  <si>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</si>
  <si>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</si>
  <si>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</si>
  <si>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</si>
  <si>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</si>
  <si>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</si>
  <si>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</si>
  <si>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</si>
  <si>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</si>
  <si>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</si>
  <si>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</si>
  <si>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</si>
  <si>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</si>
  <si>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</si>
  <si>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</si>
  <si>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</si>
  <si>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</si>
  <si>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</si>
  <si>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</si>
  <si>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</si>
  <si>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</si>
  <si>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</si>
  <si>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</si>
  <si>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</si>
  <si>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</si>
  <si>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</si>
  <si>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</si>
  <si>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</si>
  <si>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</si>
  <si>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</si>
  <si>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</si>
  <si>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</si>
  <si>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</si>
  <si>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</si>
  <si>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</si>
  <si>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</si>
  <si>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</si>
  <si>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</si>
  <si>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</si>
  <si>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</si>
  <si>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</si>
  <si>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</si>
  <si>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</si>
  <si>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</si>
  <si>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</si>
  <si>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</si>
  <si>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</si>
  <si>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</si>
  <si>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</si>
  <si>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</si>
  <si>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</si>
  <si>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</si>
  <si>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</si>
  <si>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</si>
  <si>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</si>
  <si>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</si>
  <si>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</si>
  <si>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</si>
  <si>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</si>
  <si>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</si>
  <si>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</si>
  <si>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</si>
  <si>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</si>
  <si>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</si>
  <si>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</si>
  <si>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</si>
  <si>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</si>
  <si>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</si>
  <si>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</si>
  <si>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</si>
  <si>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</si>
  <si>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</si>
  <si>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</si>
  <si>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</si>
  <si>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</si>
  <si>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</si>
  <si>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</si>
  <si>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</si>
  <si>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</si>
  <si>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</si>
  <si>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</si>
  <si>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</si>
  <si>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</si>
  <si>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</si>
  <si>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</si>
  <si>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</si>
  <si>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</si>
  <si>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</si>
  <si>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</si>
  <si>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</si>
  <si>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</si>
  <si>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</si>
  <si>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</si>
  <si>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</si>
  <si>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</si>
  <si>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</si>
  <si>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</si>
  <si>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</si>
  <si>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</si>
  <si>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</si>
  <si>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</si>
  <si>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</si>
  <si>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</si>
  <si>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</si>
  <si>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</si>
  <si>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</si>
  <si>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</si>
  <si>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</si>
  <si>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</si>
  <si>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</si>
  <si>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</si>
  <si>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</si>
  <si>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</si>
  <si>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</si>
  <si>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</si>
  <si>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</si>
  <si>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</si>
  <si>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</si>
  <si>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</si>
  <si>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</si>
  <si>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</si>
  <si>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</si>
  <si>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</si>
  <si>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</si>
  <si>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</si>
  <si>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</si>
  <si>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</si>
  <si>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</si>
  <si>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</si>
  <si>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</si>
  <si>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</si>
  <si>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</si>
  <si>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</si>
  <si>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</si>
  <si>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</si>
  <si>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</si>
  <si>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</si>
  <si>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</si>
  <si>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</si>
  <si>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</si>
  <si>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</si>
  <si>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</si>
  <si>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</si>
  <si>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</si>
  <si>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</si>
  <si>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</si>
  <si>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</si>
  <si>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</si>
  <si>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</si>
  <si>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</si>
  <si>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</si>
  <si>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</si>
  <si>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</si>
  <si>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</si>
  <si>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</si>
  <si>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</si>
  <si>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</si>
  <si>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</si>
  <si>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</si>
  <si>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</si>
  <si>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</si>
  <si>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</si>
  <si>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</si>
  <si>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</si>
  <si>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</si>
  <si>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</si>
  <si>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</si>
  <si>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</si>
  <si>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</si>
  <si>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</si>
  <si>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</si>
  <si>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</si>
  <si>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</si>
  <si>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</si>
  <si>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</si>
  <si>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</si>
  <si>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</si>
  <si>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</si>
  <si>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</si>
  <si>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</si>
  <si>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</si>
  <si>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</si>
  <si>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</si>
  <si>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</si>
  <si>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</si>
  <si>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</si>
  <si>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</si>
  <si>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</si>
  <si>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</si>
  <si>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</si>
  <si>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</si>
  <si>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</si>
  <si>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</si>
  <si>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</si>
  <si>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</si>
  <si>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</si>
  <si>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</si>
  <si>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</si>
  <si>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</si>
  <si>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</si>
  <si>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</si>
  <si>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</si>
  <si>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</si>
  <si>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</si>
  <si>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</si>
  <si>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</si>
  <si>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</si>
  <si>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</si>
  <si>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</si>
  <si>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</si>
  <si>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</si>
  <si>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</si>
  <si>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</si>
  <si>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</si>
  <si>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</si>
  <si>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</si>
  <si>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</si>
  <si>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</si>
  <si>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</si>
  <si>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</si>
  <si>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</si>
  <si>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</si>
  <si>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</si>
  <si>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</si>
  <si>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</si>
  <si>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</si>
  <si>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</si>
  <si>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</si>
  <si>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</si>
  <si>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</si>
  <si>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</si>
  <si>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</si>
  <si>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</si>
  <si>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</si>
  <si>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</si>
  <si>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</si>
  <si>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</si>
  <si>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</si>
  <si>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</si>
  <si>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</si>
  <si>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</si>
  <si>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</si>
  <si>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</si>
  <si>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</si>
  <si>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</si>
  <si>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</si>
  <si>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</si>
  <si>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</si>
  <si>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</si>
  <si>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</si>
  <si>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</si>
  <si>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</si>
  <si>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</si>
  <si>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</si>
  <si>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</si>
  <si>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</si>
  <si>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</si>
  <si>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</si>
  <si>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</si>
  <si>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</si>
  <si>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</si>
  <si>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</si>
  <si>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</si>
  <si>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</si>
  <si>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</si>
  <si>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</si>
  <si>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</si>
  <si>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</si>
  <si>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</si>
  <si>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</si>
  <si>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</si>
  <si>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</si>
  <si>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</si>
  <si>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</si>
  <si>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</si>
  <si>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</si>
  <si>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</si>
  <si>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</si>
  <si>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</si>
  <si>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</si>
  <si>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</si>
  <si>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</si>
  <si>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</si>
  <si>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</si>
  <si>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</si>
  <si>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</si>
  <si>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</si>
  <si>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</si>
  <si>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</si>
  <si>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</si>
  <si>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</si>
  <si>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</si>
  <si>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</si>
  <si>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</si>
  <si>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</si>
  <si>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</si>
  <si>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</si>
  <si>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</si>
  <si>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</si>
  <si>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</si>
  <si>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</si>
  <si>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</si>
  <si>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</si>
  <si>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</si>
  <si>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</si>
  <si>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</si>
  <si>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</si>
  <si>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</si>
  <si>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</si>
  <si>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</si>
  <si>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</si>
  <si>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</si>
  <si>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</si>
  <si>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</si>
  <si>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</si>
  <si>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</si>
  <si>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</si>
  <si>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</si>
  <si>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</si>
  <si>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</si>
  <si>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</si>
  <si>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</si>
  <si>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</si>
  <si>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</si>
  <si>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</si>
  <si>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</si>
  <si>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</si>
  <si>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</si>
  <si>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</si>
  <si>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</si>
  <si>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</si>
  <si>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</si>
  <si>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</si>
  <si>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</si>
  <si>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</si>
  <si>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</si>
  <si>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</si>
  <si>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</si>
  <si>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</si>
  <si>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</si>
  <si>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</si>
  <si>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</si>
  <si>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</si>
  <si>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</si>
  <si>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</si>
  <si>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</si>
  <si>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</si>
  <si>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</si>
  <si>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</si>
  <si>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</si>
  <si>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</si>
  <si>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</si>
  <si>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</si>
  <si>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</si>
  <si>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</si>
  <si>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</si>
  <si>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</si>
  <si>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</si>
  <si>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</si>
  <si>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</si>
  <si>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</si>
  <si>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</si>
  <si>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</si>
  <si>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</si>
  <si>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</si>
  <si>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</si>
  <si>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</si>
  <si>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</si>
  <si>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</si>
  <si>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</si>
  <si>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</si>
  <si>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</si>
  <si>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</si>
  <si>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</si>
  <si>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</si>
  <si>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</si>
  <si>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</si>
  <si>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</si>
  <si>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</si>
  <si>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</si>
  <si>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</si>
  <si>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</si>
  <si>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</si>
  <si>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</si>
  <si>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</si>
  <si>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</si>
  <si>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</si>
  <si>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</si>
  <si>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</si>
  <si>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</si>
  <si>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</si>
  <si>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</si>
  <si>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</si>
  <si>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</si>
  <si>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</si>
  <si>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</si>
  <si>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</si>
  <si>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</si>
  <si>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</si>
  <si>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</si>
  <si>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</si>
  <si>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</si>
  <si>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</si>
  <si>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</si>
  <si>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</si>
  <si>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</si>
  <si>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</si>
  <si>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</si>
  <si>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</si>
  <si>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</si>
  <si>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</si>
  <si>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</si>
  <si>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</si>
  <si>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</si>
  <si>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</si>
  <si>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</si>
  <si>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</si>
  <si>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</si>
  <si>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</si>
  <si>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</si>
  <si>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</si>
  <si>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</si>
  <si>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</si>
  <si>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</si>
  <si>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</si>
  <si>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</si>
  <si>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</si>
  <si>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</si>
  <si>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</si>
  <si>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</si>
  <si>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</si>
  <si>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</si>
  <si>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</si>
  <si>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</si>
  <si>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</si>
  <si>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</si>
  <si>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</si>
  <si>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</si>
  <si>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</si>
  <si>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</si>
  <si>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</si>
  <si>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</si>
  <si>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</si>
  <si>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</si>
  <si>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</si>
  <si>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</si>
  <si>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</si>
  <si>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</si>
  <si>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</si>
  <si>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</si>
  <si>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</si>
  <si>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</si>
  <si>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</si>
  <si>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</si>
  <si>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</si>
  <si>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</si>
  <si>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</si>
  <si>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</si>
  <si>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</si>
  <si>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</si>
  <si>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</si>
  <si>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</si>
  <si>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</si>
  <si>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</si>
  <si>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</si>
  <si>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</si>
  <si>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</si>
  <si>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</si>
  <si>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</si>
  <si>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</si>
  <si>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</si>
  <si>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</si>
  <si>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</si>
  <si>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</si>
  <si>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</si>
  <si>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</si>
  <si>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</si>
  <si>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</si>
  <si>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</si>
  <si>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</si>
  <si>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</si>
  <si>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</si>
  <si>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</si>
  <si>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</si>
  <si>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</si>
  <si>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</si>
  <si>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</si>
  <si>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</si>
  <si>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</si>
  <si>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</si>
  <si>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</si>
  <si>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</si>
  <si>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</si>
  <si>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</si>
  <si>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</si>
  <si>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</si>
  <si>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</si>
  <si>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</si>
  <si>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</si>
  <si>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</si>
  <si>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</si>
  <si>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</si>
  <si>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</si>
  <si>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</si>
  <si>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</si>
  <si>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</si>
  <si>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</si>
  <si>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</si>
  <si>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</si>
  <si>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</si>
  <si>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</si>
  <si>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</si>
  <si>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</si>
  <si>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</si>
  <si>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</si>
  <si>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</si>
  <si>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</si>
  <si>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</si>
  <si>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</si>
  <si>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</si>
  <si>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</si>
  <si>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</si>
  <si>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</si>
  <si>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</si>
  <si>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</si>
  <si>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</si>
  <si>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</si>
  <si>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</si>
  <si>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</si>
  <si>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</si>
  <si>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</si>
  <si>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</si>
  <si>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</si>
  <si>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</si>
  <si>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</si>
  <si>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</si>
  <si>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</si>
  <si>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</si>
  <si>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</si>
  <si>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</si>
  <si>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</si>
  <si>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</si>
  <si>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</si>
  <si>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</si>
  <si>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</si>
  <si>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</si>
  <si>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</si>
  <si>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</si>
  <si>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</si>
  <si>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</si>
  <si>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</si>
  <si>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</si>
  <si>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</si>
  <si>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</si>
  <si>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</si>
  <si>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</si>
  <si>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</si>
  <si>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</si>
  <si>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</si>
  <si>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</si>
  <si>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</si>
  <si>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</si>
  <si>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</si>
  <si>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</si>
  <si>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</si>
  <si>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</si>
  <si>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</si>
  <si>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</si>
  <si>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</si>
  <si>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</si>
  <si>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</si>
  <si>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</si>
  <si>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</si>
  <si>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</si>
  <si>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</si>
  <si>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</si>
  <si>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</si>
  <si>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</si>
  <si>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</si>
  <si>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</si>
  <si>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</si>
  <si>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</si>
  <si>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</si>
  <si>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</si>
  <si>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</si>
  <si>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</si>
  <si>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</si>
  <si>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</si>
  <si>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</si>
  <si>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</si>
  <si>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</si>
  <si>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</si>
  <si>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</si>
  <si>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</si>
  <si>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</si>
  <si>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</si>
  <si>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</si>
  <si>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</si>
  <si>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</si>
  <si>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</si>
  <si>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</si>
  <si>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</si>
  <si>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</si>
  <si>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</si>
  <si>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</si>
  <si>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</si>
  <si>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</si>
  <si>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</si>
  <si>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</si>
  <si>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</si>
  <si>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</si>
  <si>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</si>
  <si>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</si>
  <si>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</si>
  <si>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</si>
  <si>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</si>
  <si>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</si>
  <si>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</si>
  <si>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</si>
  <si>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</si>
  <si>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</si>
  <si>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</si>
  <si>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</si>
  <si>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</si>
  <si>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</si>
  <si>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</si>
  <si>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</si>
  <si>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</si>
  <si>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</si>
  <si>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</si>
  <si>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</si>
  <si>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</si>
  <si>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</si>
  <si>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</si>
  <si>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</si>
  <si>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</si>
  <si>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</si>
  <si>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</si>
  <si>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</si>
  <si>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</si>
  <si>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</si>
  <si>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</si>
  <si>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</si>
  <si>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</si>
  <si>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</si>
  <si>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</si>
  <si>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</si>
  <si>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</si>
  <si>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</si>
  <si>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</si>
  <si>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</si>
  <si>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</si>
  <si>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</si>
  <si>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</si>
  <si>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</si>
  <si>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</si>
  <si>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</si>
  <si>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</si>
  <si>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</si>
  <si>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</si>
  <si>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</si>
  <si>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</si>
  <si>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</si>
  <si>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</si>
  <si>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</si>
  <si>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</si>
  <si>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</si>
  <si>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</si>
  <si>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</si>
  <si>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</si>
  <si>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</si>
  <si>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</si>
  <si>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</si>
  <si>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</si>
  <si>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</si>
  <si>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</si>
  <si>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</si>
  <si>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</si>
  <si>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</si>
  <si>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</si>
  <si>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</si>
  <si>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</si>
  <si>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</si>
  <si>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</si>
  <si>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</si>
  <si>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</si>
  <si>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</si>
  <si>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</si>
  <si>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</si>
  <si>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</si>
  <si>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</si>
  <si>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</si>
  <si>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</si>
  <si>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</si>
  <si>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</si>
  <si>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</si>
  <si>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</si>
  <si>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</si>
  <si>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</si>
  <si>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</si>
  <si>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</si>
  <si>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</si>
  <si>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</si>
  <si>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</si>
  <si>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</si>
  <si>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</si>
  <si>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</si>
  <si>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</si>
  <si>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</si>
  <si>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</si>
  <si>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</si>
  <si>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</si>
  <si>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</si>
  <si>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</si>
  <si>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</si>
  <si>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</si>
  <si>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</si>
  <si>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</si>
  <si>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</si>
  <si>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</si>
  <si>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</si>
  <si>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</si>
  <si>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</si>
  <si>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</si>
  <si>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</si>
  <si>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</si>
  <si>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</si>
  <si>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</si>
  <si>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</si>
  <si>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</si>
  <si>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</si>
  <si>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</si>
  <si>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</si>
  <si>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</si>
  <si>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</si>
  <si>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</si>
  <si>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</si>
  <si>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</si>
  <si>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</si>
  <si>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</si>
  <si>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</si>
  <si>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</si>
  <si>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</si>
  <si>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</si>
  <si>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</si>
  <si>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</si>
  <si>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</si>
  <si>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</si>
  <si>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</si>
  <si>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</si>
  <si>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</si>
  <si>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</si>
  <si>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</si>
  <si>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</si>
  <si>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</si>
  <si>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</si>
  <si>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</si>
  <si>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</si>
  <si>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</si>
  <si>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</si>
  <si>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</si>
  <si>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</si>
  <si>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</si>
  <si>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</si>
  <si>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</si>
  <si>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</si>
  <si>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</si>
  <si>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</si>
  <si>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</si>
  <si>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</si>
  <si>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</si>
  <si>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</si>
  <si>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</si>
  <si>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</si>
  <si>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</si>
  <si>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</si>
  <si>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</si>
  <si>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</si>
  <si>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</si>
  <si>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</si>
  <si>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</si>
  <si>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</si>
  <si>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</si>
  <si>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</si>
  <si>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</si>
  <si>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</si>
  <si>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</si>
  <si>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</si>
  <si>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</si>
  <si>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</si>
  <si>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</si>
  <si>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</si>
  <si>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</si>
  <si>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</si>
  <si>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</si>
  <si>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</si>
  <si>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</si>
  <si>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</si>
  <si>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</si>
  <si>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</si>
  <si>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</si>
  <si>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</si>
  <si>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</si>
  <si>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</si>
  <si>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</si>
  <si>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</si>
  <si>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</si>
  <si>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</si>
  <si>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</si>
  <si>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</si>
  <si>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</si>
  <si>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</si>
  <si>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</si>
  <si>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</si>
  <si>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</si>
  <si>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</si>
  <si>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</si>
  <si>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</si>
  <si>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</si>
  <si>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</si>
  <si>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</si>
  <si>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</si>
  <si>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</si>
  <si>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</si>
  <si>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</si>
  <si>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</si>
  <si>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</si>
  <si>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</si>
  <si>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</si>
  <si>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</si>
  <si>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</si>
  <si>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</si>
  <si>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</si>
  <si>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</si>
  <si>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</si>
  <si>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</si>
  <si>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</si>
  <si>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</si>
  <si>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</si>
  <si>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</si>
  <si>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</si>
  <si>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</si>
  <si>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</si>
  <si>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</si>
  <si>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</si>
  <si>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</si>
  <si>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</si>
  <si>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</si>
  <si>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</si>
  <si>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</si>
  <si>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</si>
  <si>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</si>
  <si>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</si>
  <si>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</si>
  <si>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</si>
  <si>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</si>
  <si>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</si>
  <si>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</si>
  <si>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</si>
  <si>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</si>
  <si>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</si>
  <si>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</si>
  <si>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</si>
  <si>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</si>
  <si>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</si>
  <si>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</si>
  <si>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</si>
  <si>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</si>
  <si>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</si>
  <si>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</si>
  <si>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</si>
  <si>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</si>
  <si>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</si>
  <si>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</si>
  <si>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</si>
  <si>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</si>
  <si>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</si>
  <si>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</si>
  <si>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</si>
  <si>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</si>
  <si>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</si>
  <si>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</si>
  <si>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</si>
  <si>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</si>
  <si>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</si>
  <si>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</si>
  <si>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</si>
  <si>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</si>
  <si>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</si>
  <si>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</si>
  <si>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</si>
  <si>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</si>
  <si>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</si>
  <si>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</si>
  <si>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</si>
  <si>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</si>
  <si>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</si>
  <si>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</si>
  <si>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</si>
  <si>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</si>
  <si>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</si>
  <si>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</si>
  <si>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</si>
  <si>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</si>
  <si>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</si>
  <si>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</si>
  <si>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</si>
  <si>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</si>
  <si>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</si>
  <si>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</si>
  <si>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</si>
  <si>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</si>
  <si>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</si>
  <si>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</si>
  <si>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</si>
  <si>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</si>
  <si>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</si>
  <si>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</si>
  <si>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</si>
  <si>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</si>
  <si>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</si>
  <si>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</si>
  <si>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</si>
  <si>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</si>
  <si>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</si>
  <si>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</si>
  <si>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</si>
  <si>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</si>
  <si>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</si>
  <si>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</si>
  <si>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</si>
  <si>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</si>
  <si>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</si>
  <si>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</si>
  <si>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</si>
  <si>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</si>
  <si>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</si>
  <si>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</si>
  <si>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</si>
  <si>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</si>
  <si>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</si>
  <si>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</si>
  <si>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</si>
  <si>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</si>
  <si>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</si>
  <si>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</si>
  <si>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</si>
  <si>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</si>
  <si>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</si>
  <si>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</si>
  <si>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</si>
  <si>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</si>
  <si>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</si>
  <si>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</si>
  <si>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</si>
  <si>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</si>
  <si>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</si>
  <si>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</si>
  <si>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</si>
  <si>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</si>
  <si>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</si>
  <si>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</si>
  <si>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</si>
  <si>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</si>
  <si>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</si>
  <si>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</si>
  <si>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</si>
  <si>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</si>
  <si>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</si>
  <si>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</si>
  <si>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</si>
  <si>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</si>
  <si>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</si>
  <si>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</si>
  <si>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</si>
  <si>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</si>
  <si>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</si>
  <si>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</si>
  <si>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</si>
  <si>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</si>
  <si>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</si>
  <si>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</si>
  <si>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</si>
  <si>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</si>
  <si>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</si>
  <si>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</si>
  <si>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</si>
  <si>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</si>
  <si>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</si>
  <si>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</si>
  <si>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</si>
  <si>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</si>
  <si>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</si>
  <si>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</si>
  <si>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</si>
  <si>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</si>
  <si>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</si>
  <si>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</si>
  <si>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</si>
  <si>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</si>
  <si>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</si>
  <si>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</si>
  <si>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</si>
  <si>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</si>
  <si>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</si>
  <si>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</si>
  <si>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</si>
  <si>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</si>
  <si>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</si>
  <si>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</si>
  <si>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</si>
  <si>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</si>
  <si>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</si>
  <si>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</si>
  <si>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</si>
  <si>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</si>
  <si>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</si>
  <si>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</si>
  <si>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</si>
  <si>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</si>
  <si>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</si>
  <si>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</si>
  <si>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</si>
  <si>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</si>
  <si>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</si>
  <si>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</si>
  <si>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</si>
  <si>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</si>
  <si>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</si>
  <si>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</si>
  <si>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</si>
  <si>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</si>
  <si>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</si>
  <si>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</si>
  <si>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</si>
  <si>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</si>
  <si>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</si>
  <si>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</si>
  <si>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</si>
  <si>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</si>
  <si>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</si>
  <si>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</si>
  <si>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</si>
  <si>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</si>
  <si>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</si>
  <si>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</si>
  <si>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</si>
  <si>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</si>
  <si>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</si>
  <si>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</si>
  <si>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</si>
  <si>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</si>
  <si>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</si>
  <si>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</si>
  <si>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</si>
  <si>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</si>
  <si>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</si>
  <si>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</si>
  <si>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</si>
  <si>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</si>
  <si>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</si>
  <si>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</si>
  <si>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</si>
  <si>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</si>
  <si>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</si>
  <si>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</si>
  <si>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</si>
  <si>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</si>
  <si>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</si>
  <si>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</si>
  <si>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</si>
  <si>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</si>
  <si>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</si>
  <si>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</si>
  <si>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</si>
  <si>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</si>
  <si>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</si>
  <si>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</si>
  <si>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</si>
  <si>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</si>
  <si>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</si>
  <si>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</si>
  <si>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</si>
  <si>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</si>
  <si>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</si>
  <si>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</si>
  <si>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</si>
  <si>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</si>
  <si>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</si>
  <si>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</si>
  <si>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</si>
  <si>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</si>
  <si>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</si>
  <si>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</si>
  <si>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</si>
  <si>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</si>
  <si>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</si>
  <si>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</si>
  <si>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</si>
  <si>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</si>
  <si>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</si>
  <si>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</si>
  <si>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</si>
  <si>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</si>
  <si>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</si>
  <si>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</si>
  <si>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</si>
  <si>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</si>
  <si>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</si>
  <si>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</si>
  <si>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</si>
  <si>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</si>
  <si>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</si>
  <si>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</si>
  <si>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</si>
  <si>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</si>
  <si>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</si>
  <si>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</si>
  <si>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</si>
  <si>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</si>
  <si>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</si>
  <si>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</si>
  <si>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</si>
  <si>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</si>
  <si>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</si>
  <si>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</si>
  <si>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</si>
  <si>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</si>
  <si>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</si>
  <si>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</si>
  <si>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</si>
  <si>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</si>
  <si>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</si>
  <si>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</si>
  <si>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</si>
  <si>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</si>
  <si>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</si>
  <si>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</si>
  <si>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</si>
  <si>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</si>
  <si>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</si>
  <si>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</si>
  <si>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</si>
  <si>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</si>
  <si>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</si>
  <si>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</si>
  <si>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</si>
  <si>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</si>
  <si>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</si>
  <si>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</si>
  <si>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</si>
  <si>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</si>
  <si>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</si>
  <si>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</si>
  <si>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</si>
  <si>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</si>
  <si>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</si>
  <si>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</si>
  <si>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</si>
  <si>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</si>
  <si>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</si>
  <si>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</si>
  <si>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</si>
  <si>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</si>
  <si>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</si>
  <si>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</si>
  <si>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</si>
  <si>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</si>
  <si>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</si>
  <si>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</si>
  <si>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</si>
  <si>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</si>
  <si>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</si>
  <si>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</si>
  <si>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</si>
  <si>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</si>
  <si>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</si>
  <si>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</si>
  <si>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</si>
  <si>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</si>
  <si>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</si>
  <si>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</si>
  <si>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</si>
  <si>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</si>
  <si>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</si>
  <si>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</si>
  <si>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</si>
  <si>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</si>
  <si>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</si>
  <si>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</si>
  <si>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</si>
  <si>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</si>
  <si>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</si>
  <si>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</si>
  <si>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</si>
  <si>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</si>
  <si>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</si>
  <si>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</si>
  <si>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</si>
  <si>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</si>
  <si>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</si>
  <si>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</si>
  <si>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</si>
  <si>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</si>
  <si>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</si>
  <si>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</si>
  <si>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</si>
  <si>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</si>
  <si>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</si>
  <si>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</si>
  <si>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</si>
  <si>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</si>
  <si>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</si>
  <si>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</si>
  <si>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</si>
  <si>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</si>
  <si>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</si>
  <si>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</si>
  <si>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</si>
  <si>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</si>
  <si>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</si>
  <si>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</si>
  <si>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</si>
  <si>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</si>
  <si>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</si>
  <si>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</si>
  <si>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</si>
  <si>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</si>
  <si>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</si>
  <si>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</si>
  <si>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</si>
  <si>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</si>
  <si>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</si>
  <si>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</si>
  <si>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</si>
  <si>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</si>
  <si>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</si>
  <si>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</si>
  <si>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</si>
  <si>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</si>
  <si>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</si>
  <si>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</si>
  <si>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</si>
  <si>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</si>
  <si>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</si>
  <si>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</si>
  <si>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</si>
  <si>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</si>
  <si>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</si>
  <si>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</si>
  <si>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</si>
  <si>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</si>
  <si>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</si>
  <si>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</si>
  <si>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</si>
  <si>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</si>
  <si>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</si>
  <si>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</si>
  <si>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</si>
  <si>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</si>
  <si>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</si>
  <si>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</si>
  <si>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</si>
  <si>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</si>
  <si>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</si>
  <si>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</si>
  <si>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</si>
  <si>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</si>
  <si>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</si>
  <si>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</si>
  <si>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</si>
  <si>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</si>
  <si>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</si>
  <si>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</si>
  <si>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</si>
  <si>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</si>
  <si>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</si>
  <si>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</si>
  <si>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</si>
  <si>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</si>
  <si>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</si>
  <si>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</si>
  <si>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</si>
  <si>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</si>
  <si>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</si>
  <si>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</si>
  <si>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</si>
  <si>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</si>
  <si>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</si>
  <si>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</si>
  <si>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</si>
  <si>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</si>
  <si>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</si>
  <si>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</si>
  <si>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</si>
  <si>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</si>
  <si>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</si>
  <si>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</si>
  <si>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</si>
  <si>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</si>
  <si>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</si>
  <si>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</si>
  <si>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</si>
  <si>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</si>
  <si>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</si>
  <si>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</si>
  <si>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</si>
  <si>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</si>
  <si>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</si>
  <si>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</si>
  <si>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</si>
  <si>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</si>
  <si>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</si>
  <si>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</si>
  <si>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</si>
  <si>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</si>
  <si>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</si>
  <si>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</si>
  <si>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</si>
  <si>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</si>
  <si>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</si>
  <si>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</si>
  <si>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</si>
  <si>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</si>
  <si>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</si>
  <si>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</si>
  <si>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</si>
  <si>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</si>
  <si>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</si>
  <si>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</si>
  <si>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</si>
  <si>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</si>
  <si>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</si>
  <si>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</si>
  <si>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</si>
  <si>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</si>
  <si>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</si>
  <si>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</si>
  <si>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</si>
  <si>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</si>
  <si>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</si>
  <si>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</si>
  <si>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</si>
  <si>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</si>
  <si>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</si>
  <si>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</si>
  <si>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</si>
  <si>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</si>
  <si>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</si>
  <si>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</si>
  <si>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</si>
  <si>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</si>
  <si>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</si>
  <si>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</si>
  <si>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</si>
  <si>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</si>
  <si>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</si>
  <si>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</si>
  <si>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</si>
  <si>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</si>
  <si>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</si>
  <si>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</si>
  <si>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</si>
  <si>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</si>
  <si>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</si>
  <si>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</si>
  <si>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</si>
  <si>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</si>
  <si>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</si>
  <si>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</si>
  <si>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</si>
  <si>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</si>
  <si>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</si>
  <si>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</si>
  <si>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</si>
  <si>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</si>
  <si>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</si>
  <si>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</si>
  <si>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</si>
  <si>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</si>
  <si>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</si>
  <si>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</si>
  <si>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</si>
  <si>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</si>
  <si>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</si>
  <si>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</si>
  <si>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</si>
  <si>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</si>
  <si>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</si>
  <si>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</si>
  <si>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</si>
  <si>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</si>
  <si>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</si>
  <si>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</si>
  <si>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</si>
  <si>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</si>
  <si>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</si>
  <si>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</si>
  <si>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</si>
  <si>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</si>
  <si>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</si>
  <si>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</si>
  <si>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</si>
  <si>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</si>
  <si>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</si>
  <si>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</si>
  <si>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</si>
  <si>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</si>
  <si>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</si>
  <si>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</si>
  <si>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</si>
  <si>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</si>
  <si>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</si>
  <si>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</si>
  <si>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</si>
  <si>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</si>
  <si>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</si>
  <si>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</si>
  <si>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</si>
  <si>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</si>
  <si>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</si>
  <si>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</si>
  <si>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</si>
  <si>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</si>
  <si>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</si>
  <si>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</si>
  <si>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</si>
  <si>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</si>
  <si>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</si>
  <si>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</si>
  <si>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</si>
  <si>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</si>
  <si>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</si>
  <si>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</si>
  <si>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</si>
  <si>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</si>
  <si>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</si>
  <si>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</si>
  <si>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</si>
  <si>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</si>
  <si>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</si>
  <si>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</si>
  <si>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</si>
  <si>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</si>
  <si>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</si>
  <si>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</si>
  <si>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</si>
  <si>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</si>
  <si>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</si>
  <si>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</si>
  <si>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</si>
  <si>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</si>
  <si>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</si>
  <si>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</si>
  <si>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</si>
  <si>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</si>
  <si>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</si>
  <si>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</si>
  <si>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</si>
  <si>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</si>
  <si>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</si>
  <si>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</si>
  <si>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</si>
  <si>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</si>
  <si>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</si>
  <si>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</si>
  <si>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</si>
  <si>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</si>
  <si>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</si>
  <si>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</si>
  <si>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</si>
  <si>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</si>
  <si>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</si>
  <si>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</si>
  <si>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</si>
  <si>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</si>
  <si>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</si>
  <si>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</si>
  <si>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</si>
  <si>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</si>
  <si>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</si>
  <si>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</si>
  <si>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</si>
  <si>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</si>
  <si>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</si>
  <si>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</si>
  <si>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</si>
  <si>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</si>
  <si>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</si>
  <si>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</si>
  <si>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</si>
  <si>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</si>
  <si>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</si>
  <si>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</si>
  <si>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</si>
  <si>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</si>
  <si>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</si>
  <si>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</si>
  <si>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</si>
  <si>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</si>
  <si>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</si>
  <si>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</si>
  <si>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</si>
  <si>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</si>
  <si>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</si>
  <si>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</si>
  <si>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</si>
  <si>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</si>
  <si>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</si>
  <si>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</si>
  <si>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</si>
  <si>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</si>
  <si>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</si>
  <si>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</si>
  <si>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</si>
  <si>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</si>
  <si>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</si>
  <si>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</si>
  <si>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</si>
  <si>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</si>
  <si>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</si>
  <si>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</si>
  <si>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</si>
  <si>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</si>
  <si>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</si>
  <si>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</si>
  <si>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</si>
  <si>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</si>
  <si>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</si>
  <si>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</si>
  <si>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</si>
  <si>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</si>
  <si>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</si>
  <si>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</si>
  <si>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</si>
  <si>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</si>
  <si>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</si>
  <si>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</si>
  <si>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</si>
  <si>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</si>
  <si>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</si>
  <si>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</si>
  <si>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</si>
  <si>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</si>
  <si>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</si>
  <si>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</si>
  <si>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</si>
  <si>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</si>
  <si>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</si>
  <si>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</si>
  <si>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</si>
  <si>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</si>
  <si>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</si>
  <si>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</si>
  <si>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</si>
  <si>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</si>
  <si>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</si>
  <si>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</si>
  <si>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</si>
  <si>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</si>
  <si>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</si>
  <si>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</si>
  <si>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</si>
  <si>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</si>
  <si>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</si>
  <si>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</si>
  <si>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</si>
  <si>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</si>
  <si>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</si>
  <si>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</si>
  <si>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</si>
  <si>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</si>
  <si>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</si>
  <si>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</si>
  <si>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</si>
  <si>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</si>
  <si>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</si>
  <si>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</si>
  <si>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</si>
  <si>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</si>
  <si>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</si>
  <si>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</si>
  <si>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</si>
  <si>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</si>
  <si>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</si>
  <si>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</si>
  <si>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</si>
  <si>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</si>
  <si>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</si>
  <si>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</si>
  <si>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</si>
  <si>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</si>
  <si>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</si>
  <si>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</si>
  <si>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</si>
  <si>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</si>
  <si>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</si>
  <si>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</si>
  <si>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</si>
  <si>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</si>
  <si>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</si>
  <si>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</si>
  <si>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</si>
  <si>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</si>
  <si>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</si>
  <si>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</si>
  <si>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</si>
  <si>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</si>
  <si>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</si>
  <si>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</si>
  <si>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</si>
  <si>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</si>
  <si>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</si>
  <si>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</si>
  <si>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</si>
  <si>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</si>
  <si>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</si>
  <si>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</si>
  <si>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</si>
  <si>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</si>
  <si>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</si>
  <si>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</si>
  <si>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</si>
  <si>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</si>
  <si>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</si>
  <si>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</si>
  <si>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</si>
  <si>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</si>
  <si>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</si>
  <si>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</si>
  <si>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</si>
  <si>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</si>
  <si>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</si>
  <si>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</si>
  <si>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</si>
  <si>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</si>
  <si>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</si>
  <si>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</si>
  <si>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</si>
  <si>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</si>
  <si>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</si>
  <si>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</si>
  <si>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</si>
  <si>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</si>
  <si>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</si>
  <si>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</si>
  <si>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</si>
  <si>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</si>
  <si>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</si>
  <si>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</si>
  <si>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</si>
  <si>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</si>
  <si>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</si>
  <si>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</si>
  <si>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</si>
  <si>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</si>
  <si>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</si>
  <si>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</si>
  <si>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</si>
  <si>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</si>
  <si>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</si>
  <si>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</si>
  <si>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</si>
  <si>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</si>
  <si>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</si>
  <si>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</si>
  <si>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</si>
  <si>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</si>
  <si>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</si>
  <si>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</si>
  <si>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</si>
  <si>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</si>
  <si>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</si>
  <si>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</si>
  <si>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</si>
  <si>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</si>
  <si>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</si>
  <si>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</si>
  <si>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</si>
  <si>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</si>
  <si>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</si>
  <si>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</si>
  <si>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</si>
  <si>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</si>
  <si>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</si>
  <si>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</si>
  <si>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</si>
  <si>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</si>
  <si>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</si>
  <si>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</si>
  <si>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</si>
  <si>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</si>
  <si>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</si>
  <si>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</si>
  <si>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</si>
  <si>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</si>
  <si>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</si>
  <si>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</si>
  <si>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</si>
  <si>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</si>
  <si>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</si>
  <si>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</si>
  <si>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</si>
  <si>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</si>
  <si>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</si>
  <si>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</si>
  <si>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</si>
  <si>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</si>
  <si>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</si>
  <si>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</si>
  <si>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</si>
  <si>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</si>
  <si>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</si>
  <si>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</si>
  <si>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</si>
  <si>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</si>
  <si>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</si>
  <si>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</si>
  <si>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</si>
  <si>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</si>
  <si>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</si>
  <si>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</si>
  <si>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</si>
  <si>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</si>
  <si>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</si>
  <si>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</si>
  <si>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</si>
  <si>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</si>
  <si>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</si>
  <si>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</si>
  <si>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</si>
  <si>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</si>
  <si>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</si>
  <si>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</si>
  <si>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</si>
  <si>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</si>
  <si>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</si>
  <si>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</si>
  <si>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</si>
  <si>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</si>
  <si>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</si>
  <si>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</si>
  <si>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</si>
  <si>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</si>
  <si>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</si>
  <si>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</si>
  <si>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</si>
  <si>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</si>
  <si>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</si>
  <si>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</si>
  <si>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</si>
  <si>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</si>
  <si>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</si>
  <si>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</si>
  <si>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</si>
  <si>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</si>
  <si>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</si>
  <si>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</si>
  <si>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</si>
  <si>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</si>
  <si>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</si>
  <si>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</si>
  <si>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</si>
  <si>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</si>
  <si>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</si>
  <si>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</si>
  <si>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</si>
  <si>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</si>
  <si>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</si>
  <si>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</si>
  <si>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</si>
  <si>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</si>
  <si>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</si>
  <si>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</si>
  <si>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</si>
  <si>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</si>
  <si>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</si>
  <si>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</si>
  <si>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</si>
  <si>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</si>
  <si>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</si>
  <si>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</si>
  <si>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</si>
  <si>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</si>
  <si>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</si>
  <si>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</si>
  <si>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</si>
  <si>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</si>
  <si>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</si>
  <si>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</si>
  <si>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</si>
  <si>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</si>
  <si>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</si>
  <si>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</si>
  <si>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</si>
  <si>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</si>
  <si>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</si>
  <si>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</si>
  <si>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</si>
  <si>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</si>
  <si>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</si>
  <si>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</si>
  <si>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</si>
  <si>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</si>
  <si>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</si>
  <si>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</si>
  <si>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</si>
  <si>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</si>
  <si>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</si>
  <si>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</si>
  <si>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</si>
  <si>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</si>
  <si>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</si>
  <si>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</si>
  <si>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</si>
  <si>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</si>
  <si>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</si>
  <si>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</si>
  <si>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</si>
  <si>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</si>
  <si>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</si>
  <si>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</si>
  <si>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</si>
  <si>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</si>
  <si>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</si>
  <si>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</si>
  <si>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</si>
  <si>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</si>
  <si>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</si>
  <si>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</si>
  <si>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</si>
  <si>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</si>
  <si>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</si>
  <si>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</si>
  <si>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</si>
  <si>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</si>
  <si>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</si>
  <si>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</si>
  <si>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</si>
  <si>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</si>
  <si>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</si>
  <si>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</si>
  <si>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</si>
  <si>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</si>
  <si>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</si>
  <si>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</si>
  <si>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</si>
  <si>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</si>
  <si>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</si>
  <si>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</si>
  <si>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</si>
  <si>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</si>
  <si>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</si>
  <si>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</si>
  <si>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</si>
  <si>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</si>
  <si>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</si>
  <si>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</si>
  <si>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</si>
  <si>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</si>
  <si>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</si>
  <si>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</si>
  <si>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</si>
  <si>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</si>
  <si>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</si>
  <si>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</si>
  <si>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</si>
  <si>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</si>
  <si>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</si>
  <si>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</si>
  <si>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</si>
  <si>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</si>
  <si>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</si>
  <si>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</si>
  <si>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</si>
  <si>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</si>
  <si>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</si>
  <si>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</si>
  <si>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</si>
  <si>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</si>
  <si>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</si>
  <si>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</si>
  <si>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</si>
  <si>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</si>
  <si>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</si>
  <si>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</si>
  <si>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</si>
  <si>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</si>
  <si>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</si>
  <si>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</si>
  <si>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</si>
  <si>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</si>
  <si>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</si>
  <si>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</si>
  <si>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</si>
  <si>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</si>
  <si>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</si>
  <si>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</si>
  <si>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</si>
  <si>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</si>
  <si>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</si>
  <si>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</si>
  <si>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</si>
  <si>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</si>
  <si>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</si>
  <si>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</si>
  <si>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</si>
  <si>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</si>
  <si>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</si>
  <si>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</si>
  <si>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</si>
  <si>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</si>
  <si>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</si>
  <si>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</si>
  <si>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</si>
  <si>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</si>
  <si>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</si>
  <si>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</si>
  <si>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</si>
  <si>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</si>
  <si>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</si>
  <si>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</si>
  <si>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</si>
  <si>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</si>
  <si>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</si>
  <si>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</si>
  <si>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</si>
  <si>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</si>
  <si>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</si>
  <si>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</si>
  <si>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</si>
  <si>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</si>
  <si>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</si>
  <si>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</si>
  <si>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</si>
  <si>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</si>
  <si>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</si>
  <si>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</si>
  <si>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</si>
  <si>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</si>
  <si>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</si>
  <si>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</si>
  <si>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</si>
  <si>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</si>
  <si>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</si>
  <si>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</si>
  <si>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</si>
  <si>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</si>
  <si>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</si>
  <si>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</si>
  <si>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</si>
  <si>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</si>
  <si>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</si>
  <si>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</si>
  <si>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</si>
  <si>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</si>
  <si>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</si>
  <si>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</si>
  <si>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</si>
  <si>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</si>
  <si>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</si>
  <si>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</si>
  <si>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</si>
  <si>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</si>
  <si>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</si>
  <si>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</si>
  <si>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</si>
  <si>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</si>
  <si>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</si>
  <si>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</si>
  <si>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</si>
  <si>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</si>
  <si>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</si>
  <si>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</si>
  <si>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</si>
  <si>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</si>
  <si>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</si>
  <si>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</si>
  <si>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</si>
  <si>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</si>
  <si>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</si>
  <si>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</si>
  <si>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</si>
  <si>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</si>
  <si>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</si>
  <si>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</si>
  <si>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</si>
  <si>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</si>
  <si>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</si>
  <si>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</si>
  <si>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</si>
  <si>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</si>
  <si>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</si>
  <si>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</si>
  <si>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</si>
  <si>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</si>
  <si>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</si>
  <si>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</si>
  <si>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</si>
  <si>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</si>
  <si>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</si>
  <si>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</si>
  <si>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</si>
  <si>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</si>
  <si>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</si>
  <si>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</si>
  <si>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</si>
  <si>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</si>
  <si>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</si>
  <si>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</si>
  <si>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</si>
  <si>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</si>
  <si>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</si>
  <si>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</si>
  <si>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</si>
  <si>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</si>
  <si>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</si>
  <si>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</si>
  <si>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</si>
  <si>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</si>
  <si>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</si>
  <si>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</si>
  <si>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</si>
  <si>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</si>
  <si>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</si>
  <si>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</si>
  <si>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</si>
  <si>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</si>
  <si>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</si>
  <si>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</si>
  <si>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</si>
  <si>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</si>
  <si>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</si>
  <si>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</si>
  <si>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</si>
  <si>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</si>
  <si>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</si>
  <si>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</si>
  <si>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</si>
  <si>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</si>
  <si>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</si>
  <si>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</si>
  <si>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</si>
  <si>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</si>
  <si>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</si>
  <si>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</si>
  <si>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</si>
  <si>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</si>
  <si>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</si>
  <si>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</si>
  <si>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</si>
  <si>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</si>
  <si>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</si>
  <si>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</si>
  <si>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</si>
  <si>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</si>
  <si>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</si>
  <si>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</si>
  <si>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</si>
  <si>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</si>
  <si>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</si>
  <si>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</si>
  <si>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</si>
  <si>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</si>
  <si>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</si>
  <si>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</si>
  <si>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</si>
  <si>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</si>
  <si>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</si>
  <si>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</si>
  <si>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</si>
  <si>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</si>
  <si>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</si>
  <si>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</si>
  <si>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</si>
  <si>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</si>
  <si>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</si>
  <si>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</si>
  <si>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</si>
  <si>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</si>
  <si>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</si>
  <si>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</si>
  <si>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</si>
  <si>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</si>
  <si>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</si>
  <si>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</si>
  <si>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</si>
  <si>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</si>
  <si>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</si>
  <si>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</si>
  <si>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</si>
  <si>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</si>
  <si>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</si>
  <si>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</si>
  <si>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</si>
  <si>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</si>
  <si>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</si>
  <si>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</si>
  <si>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</si>
  <si>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</si>
  <si>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</si>
  <si>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</si>
  <si>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</si>
  <si>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</si>
  <si>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</si>
  <si>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</si>
  <si>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</si>
  <si>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</si>
  <si>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</si>
  <si>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</si>
  <si>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</si>
  <si>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</si>
  <si>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</si>
  <si>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</si>
  <si>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</si>
  <si>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</si>
  <si>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</si>
  <si>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</si>
  <si>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</si>
  <si>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</si>
  <si>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</si>
  <si>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</si>
  <si>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</si>
  <si>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</si>
  <si>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</si>
  <si>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</si>
  <si>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</si>
  <si>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</si>
  <si>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</si>
  <si>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</si>
  <si>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</si>
  <si>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</si>
  <si>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</si>
  <si>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</si>
  <si>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</si>
  <si>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</si>
  <si>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</si>
  <si>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</si>
  <si>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</si>
  <si>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</si>
  <si>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</si>
  <si>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</si>
  <si>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</si>
  <si>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</si>
  <si>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</si>
  <si>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</si>
  <si>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</si>
  <si>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</si>
  <si>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</si>
  <si>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</si>
  <si>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</si>
  <si>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</si>
  <si>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</si>
  <si>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</si>
  <si>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</si>
  <si>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</si>
  <si>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</si>
  <si>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</si>
  <si>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</si>
  <si>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</si>
  <si>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</si>
  <si>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</si>
  <si>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</si>
  <si>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</si>
  <si>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</si>
  <si>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</si>
  <si>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</si>
  <si>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</si>
  <si>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</si>
  <si>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</si>
  <si>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</si>
  <si>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</si>
  <si>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</si>
  <si>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</si>
  <si>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</si>
  <si>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</si>
  <si>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</si>
  <si>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</si>
  <si>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</si>
  <si>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</si>
  <si>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</si>
  <si>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</si>
  <si>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</si>
  <si>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</si>
  <si>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</si>
  <si>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</si>
  <si>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</si>
  <si>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</si>
  <si>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</si>
  <si>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</si>
  <si>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</si>
  <si>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</si>
  <si>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</si>
  <si>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</si>
  <si>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</si>
  <si>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</si>
  <si>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</si>
  <si>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</si>
  <si>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</si>
  <si>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</si>
  <si>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</si>
  <si>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</si>
  <si>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</si>
  <si>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</si>
  <si>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</si>
  <si>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</si>
  <si>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</si>
  <si>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</si>
  <si>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</si>
  <si>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</si>
  <si>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</si>
  <si>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</si>
  <si>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</si>
  <si>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</si>
  <si>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</si>
  <si>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</si>
  <si>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</si>
  <si>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</si>
  <si>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</si>
  <si>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</si>
  <si>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</si>
  <si>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</si>
  <si>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</si>
  <si>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</si>
  <si>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</si>
  <si>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</si>
  <si>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</si>
  <si>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</si>
  <si>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</si>
  <si>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</si>
  <si>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</si>
  <si>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</si>
  <si>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</si>
  <si>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</si>
  <si>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</si>
  <si>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</si>
  <si>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</si>
  <si>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</si>
  <si>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</si>
  <si>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</si>
  <si>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</si>
  <si>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</si>
  <si>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</si>
  <si>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</si>
  <si>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</si>
  <si>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</si>
  <si>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</si>
  <si>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</si>
  <si>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</si>
  <si>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</si>
  <si>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</si>
  <si>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</si>
  <si>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</si>
  <si>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</si>
  <si>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</si>
  <si>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</si>
  <si>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</si>
  <si>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</si>
  <si>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</si>
  <si>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</si>
  <si>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</si>
  <si>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</si>
  <si>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</si>
  <si>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</si>
  <si>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</si>
  <si>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</si>
  <si>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</si>
  <si>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</si>
  <si>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</si>
  <si>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</si>
  <si>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</si>
  <si>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</si>
  <si>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</si>
  <si>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</si>
  <si>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</si>
  <si>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</si>
  <si>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</si>
  <si>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</si>
  <si>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</si>
  <si>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</si>
  <si>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</si>
  <si>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</si>
  <si>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</si>
  <si>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</si>
  <si>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</si>
  <si>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</si>
  <si>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</si>
  <si>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</si>
  <si>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</si>
  <si>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</si>
  <si>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</si>
  <si>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</si>
  <si>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</si>
  <si>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</si>
  <si>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</si>
  <si>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</si>
  <si>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</si>
  <si>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</si>
  <si>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</si>
  <si>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</si>
  <si>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</si>
  <si>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</si>
  <si>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</si>
  <si>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</si>
  <si>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</si>
  <si>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</si>
  <si>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</si>
  <si>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</si>
  <si>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</si>
  <si>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</si>
  <si>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</si>
  <si>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</si>
  <si>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</si>
  <si>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</si>
  <si>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</si>
  <si>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</si>
  <si>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</si>
  <si>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</si>
  <si>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</si>
  <si>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</si>
  <si>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</si>
  <si>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</si>
  <si>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</si>
  <si>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</si>
  <si>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</si>
  <si>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</si>
  <si>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</si>
  <si>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</si>
  <si>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</si>
  <si>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</si>
  <si>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</si>
  <si>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</si>
  <si>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</si>
  <si>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</si>
  <si>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</si>
  <si>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</si>
  <si>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</si>
  <si>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</si>
  <si>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</si>
  <si>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</si>
  <si>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</si>
  <si>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</si>
  <si>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</si>
  <si>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</si>
  <si>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</si>
  <si>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</si>
  <si>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</si>
  <si>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</si>
  <si>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</si>
  <si>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</si>
  <si>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</si>
  <si>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</si>
  <si>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</si>
  <si>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</si>
  <si>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</si>
  <si>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</si>
  <si>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</si>
  <si>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</si>
  <si>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</si>
  <si>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</si>
  <si>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</si>
  <si>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</si>
  <si>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</si>
  <si>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</si>
  <si>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</si>
  <si>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</si>
  <si>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</si>
  <si>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</si>
  <si>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</si>
  <si>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</si>
  <si>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</si>
  <si>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</si>
  <si>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</si>
  <si>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</si>
  <si>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</si>
  <si>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</si>
  <si>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</si>
  <si>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</si>
  <si>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</si>
  <si>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</si>
  <si>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</si>
  <si>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</si>
  <si>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</si>
  <si>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</si>
  <si>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</si>
  <si>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</si>
  <si>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</si>
  <si>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</si>
  <si>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</si>
  <si>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</si>
  <si>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</si>
  <si>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</si>
  <si>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</si>
  <si>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</si>
  <si>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</si>
  <si>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</si>
  <si>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</si>
  <si>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</si>
  <si>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</si>
  <si>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</si>
  <si>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</si>
  <si>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</si>
  <si>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</si>
  <si>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</si>
  <si>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</si>
  <si>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</si>
  <si>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</si>
  <si>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</si>
  <si>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</si>
  <si>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</si>
  <si>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</si>
  <si>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</si>
  <si>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</si>
  <si>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</si>
  <si>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</si>
  <si>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</si>
  <si>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</si>
  <si>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</si>
  <si>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</si>
  <si>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</si>
  <si>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</si>
  <si>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</si>
  <si>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</si>
  <si>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</si>
  <si>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</si>
  <si>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</si>
  <si>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</si>
  <si>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</si>
  <si>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</si>
  <si>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</si>
  <si>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</si>
  <si>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</si>
  <si>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</si>
  <si>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</si>
  <si>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</si>
  <si>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</si>
  <si>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</si>
  <si>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</si>
  <si>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</si>
  <si>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</si>
  <si>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</si>
  <si>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</si>
  <si>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</si>
  <si>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</si>
  <si>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</si>
  <si>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</si>
  <si>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</si>
  <si>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</si>
  <si>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</si>
  <si>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</si>
  <si>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</si>
  <si>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</si>
  <si>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</si>
  <si>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</si>
  <si>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</si>
  <si>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</si>
  <si>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</si>
  <si>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</si>
  <si>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</si>
  <si>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</si>
  <si>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</si>
  <si>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</si>
  <si>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</si>
  <si>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</si>
  <si>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</si>
  <si>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</si>
  <si>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</si>
  <si>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</si>
  <si>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</si>
  <si>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</si>
  <si>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</si>
  <si>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</si>
  <si>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</si>
  <si>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</si>
  <si>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</si>
  <si>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</si>
  <si>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</si>
  <si>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</si>
  <si>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</si>
  <si>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</si>
  <si>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</si>
  <si>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</si>
  <si>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</si>
  <si>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</si>
  <si>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</si>
  <si>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</si>
  <si>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</si>
  <si>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</si>
  <si>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</si>
  <si>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</si>
  <si>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</si>
  <si>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</si>
  <si>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</si>
  <si>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</si>
  <si>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</si>
  <si>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</si>
  <si>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</si>
  <si>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</si>
  <si>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</si>
  <si>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</si>
  <si>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</si>
  <si>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</si>
  <si>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</si>
  <si>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</si>
  <si>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</si>
  <si>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</si>
  <si>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</si>
  <si>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</si>
  <si>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</si>
  <si>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</si>
  <si>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</si>
  <si>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</si>
  <si>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</si>
  <si>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</si>
  <si>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</si>
  <si>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</si>
  <si>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</si>
  <si>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</si>
  <si>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</si>
  <si>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</si>
  <si>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</si>
  <si>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</si>
  <si>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</si>
  <si>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</si>
  <si>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</si>
  <si>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</si>
  <si>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</si>
  <si>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</si>
  <si>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</si>
  <si>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</si>
  <si>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</si>
  <si>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</si>
  <si>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</si>
  <si>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</si>
  <si>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</si>
  <si>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</si>
  <si>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</si>
  <si>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</si>
  <si>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</si>
  <si>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</si>
  <si>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</si>
  <si>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</si>
  <si>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</si>
  <si>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</si>
  <si>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</si>
  <si>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</si>
  <si>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</si>
  <si>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</si>
  <si>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</si>
  <si>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</si>
  <si>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</si>
  <si>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</si>
  <si>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</si>
  <si>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</si>
  <si>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</si>
  <si>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</si>
  <si>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</si>
  <si>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</si>
  <si>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</si>
  <si>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</si>
  <si>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</si>
  <si>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</si>
  <si>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</si>
  <si>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</si>
  <si>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</si>
  <si>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</si>
  <si>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</si>
  <si>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</si>
  <si>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</si>
  <si>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</si>
  <si>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</si>
  <si>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</si>
  <si>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</si>
  <si>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</si>
  <si>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</si>
  <si>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</si>
  <si>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</si>
  <si>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</si>
  <si>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</si>
  <si>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</si>
  <si>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</si>
  <si>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</si>
  <si>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</si>
  <si>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</si>
  <si>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</si>
  <si>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</si>
  <si>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</si>
  <si>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</si>
  <si>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</si>
  <si>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</si>
  <si>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</si>
  <si>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</si>
  <si>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</si>
  <si>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</si>
  <si>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</si>
  <si>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</si>
  <si>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</si>
  <si>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</si>
  <si>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</si>
  <si>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</si>
  <si>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</si>
  <si>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</si>
  <si>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</si>
  <si>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</si>
  <si>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</si>
  <si>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</si>
  <si>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</si>
  <si>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</si>
  <si>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</si>
  <si>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</si>
  <si>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</si>
  <si>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</si>
  <si>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</si>
  <si>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</si>
  <si>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</si>
  <si>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</si>
  <si>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</si>
  <si>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</si>
  <si>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</si>
  <si>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</si>
  <si>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</si>
  <si>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</si>
  <si>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</si>
  <si>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</si>
  <si>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</si>
  <si>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</si>
  <si>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</si>
  <si>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</si>
  <si>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</si>
  <si>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</si>
  <si>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</si>
  <si>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</si>
  <si>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</si>
  <si>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</si>
  <si>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</si>
  <si>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</si>
  <si>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</si>
  <si>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</si>
  <si>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</si>
  <si>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</si>
  <si>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</si>
  <si>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</si>
  <si>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</si>
  <si>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</si>
  <si>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</si>
  <si>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</si>
  <si>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</si>
  <si>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</si>
  <si>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</si>
  <si>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</si>
  <si>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</si>
  <si>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</si>
  <si>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</si>
  <si>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</si>
  <si>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</si>
  <si>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</si>
  <si>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</si>
  <si>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</si>
  <si>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</si>
  <si>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</si>
  <si>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</si>
  <si>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</si>
  <si>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</si>
  <si>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</si>
  <si>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</si>
  <si>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</si>
  <si>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</si>
  <si>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</si>
  <si>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</si>
  <si>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</si>
  <si>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</si>
  <si>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</si>
  <si>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</si>
  <si>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</si>
  <si>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</si>
  <si>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</si>
  <si>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</si>
  <si>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</si>
  <si>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</si>
  <si>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</si>
  <si>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</si>
  <si>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</si>
  <si>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</si>
  <si>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</si>
  <si>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</si>
  <si>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</si>
  <si>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</si>
  <si>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</si>
  <si>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</si>
  <si>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</si>
  <si>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</si>
  <si>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</si>
  <si>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</si>
  <si>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</si>
  <si>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</si>
  <si>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</si>
  <si>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</si>
  <si>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</si>
  <si>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</si>
  <si>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</si>
  <si>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</si>
  <si>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</si>
  <si>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</si>
  <si>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</si>
  <si>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</si>
  <si>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</si>
  <si>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</si>
  <si>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</si>
  <si>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</si>
  <si>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</si>
  <si>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</si>
  <si>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</si>
  <si>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</si>
  <si>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</si>
  <si>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</si>
  <si>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</si>
  <si>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</si>
  <si>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</si>
  <si>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</si>
  <si>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</si>
  <si>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</si>
  <si>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</si>
  <si>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</si>
  <si>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</si>
  <si>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</si>
  <si>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</si>
  <si>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</si>
  <si>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</si>
  <si>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</si>
  <si>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</si>
  <si>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</si>
  <si>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</si>
  <si>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</si>
  <si>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</si>
  <si>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</si>
  <si>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</si>
  <si>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</si>
  <si>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</si>
  <si>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</si>
  <si>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</si>
  <si>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</si>
  <si>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</si>
  <si>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</si>
  <si>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</si>
  <si>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</si>
  <si>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</si>
  <si>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</si>
  <si>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</si>
  <si>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</si>
  <si>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</si>
  <si>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</si>
  <si>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</si>
  <si>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</si>
  <si>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</si>
  <si>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</si>
  <si>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</si>
  <si>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</si>
  <si>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</si>
  <si>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</si>
  <si>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</si>
  <si>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</si>
  <si>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</si>
  <si>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</si>
  <si>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</si>
  <si>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</si>
  <si>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</si>
  <si>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</si>
  <si>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</si>
  <si>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</si>
  <si>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</si>
  <si>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</si>
  <si>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</si>
  <si>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</si>
  <si>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</si>
  <si>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</si>
  <si>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</si>
  <si>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</si>
  <si>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</si>
  <si>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</si>
  <si>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</si>
  <si>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</si>
  <si>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</si>
  <si>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</si>
  <si>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</si>
  <si>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</si>
  <si>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</si>
  <si>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</si>
  <si>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</si>
  <si>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</si>
  <si>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</si>
  <si>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</si>
  <si>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</si>
  <si>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</si>
  <si>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</si>
  <si>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</si>
  <si>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</si>
  <si>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</si>
  <si>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</si>
  <si>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</si>
  <si>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</si>
  <si>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</si>
  <si>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</si>
  <si>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</si>
  <si>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</si>
  <si>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</si>
  <si>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</si>
  <si>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</si>
  <si>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</si>
  <si>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</si>
  <si>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</si>
  <si>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</si>
  <si>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</si>
  <si>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</si>
  <si>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</si>
  <si>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</si>
  <si>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</si>
  <si>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</si>
  <si>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</si>
  <si>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</si>
  <si>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</si>
  <si>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</si>
  <si>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</si>
  <si>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</si>
  <si>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</si>
  <si>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</si>
  <si>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</si>
  <si>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</si>
  <si>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</si>
  <si>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</si>
  <si>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</si>
  <si>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</si>
  <si>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</si>
  <si>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</si>
  <si>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</si>
  <si>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</si>
  <si>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</si>
  <si>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</si>
  <si>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</si>
  <si>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</si>
  <si>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</si>
  <si>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</si>
  <si>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</si>
  <si>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</si>
  <si>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</si>
  <si>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</si>
  <si>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</si>
  <si>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</si>
  <si>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</si>
  <si>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</si>
  <si>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</si>
  <si>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</si>
  <si>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</si>
  <si>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</si>
  <si>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</si>
  <si>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</si>
  <si>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</si>
  <si>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</si>
  <si>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</si>
  <si>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</si>
  <si>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</si>
  <si>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</si>
  <si>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</si>
  <si>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</si>
  <si>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</si>
  <si>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</si>
  <si>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</si>
  <si>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</si>
  <si>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</si>
  <si>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</si>
  <si>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</si>
  <si>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</si>
  <si>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</si>
  <si>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</si>
  <si>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</si>
  <si>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</si>
  <si>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</si>
  <si>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</si>
  <si>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</si>
  <si>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</si>
  <si>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</si>
  <si>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</si>
  <si>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</si>
  <si>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</si>
  <si>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</si>
  <si>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</si>
  <si>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</si>
  <si>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</si>
  <si>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</si>
  <si>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</si>
  <si>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</si>
  <si>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</si>
  <si>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</si>
  <si>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</si>
  <si>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</si>
  <si>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</si>
  <si>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</si>
  <si>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</si>
  <si>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</si>
  <si>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</si>
  <si>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</si>
  <si>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</si>
  <si>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</si>
  <si>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</si>
  <si>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</si>
  <si>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</si>
  <si>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</si>
  <si>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</si>
  <si>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</si>
  <si>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</si>
  <si>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</si>
  <si>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</si>
  <si>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</si>
  <si>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</si>
  <si>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</si>
  <si>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</si>
  <si>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</si>
  <si>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</si>
  <si>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</si>
  <si>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</si>
  <si>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</si>
  <si>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</si>
  <si>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</si>
  <si>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</si>
  <si>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</si>
  <si>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</si>
  <si>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</si>
  <si>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</si>
  <si>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</si>
  <si>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</si>
  <si>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</si>
  <si>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</si>
  <si>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</si>
  <si>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</si>
  <si>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</si>
  <si>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</si>
  <si>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</si>
  <si>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</si>
  <si>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</si>
  <si>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</si>
  <si>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</si>
  <si>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</si>
  <si>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</si>
  <si>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</si>
  <si>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</si>
  <si>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</si>
  <si>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</si>
  <si>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</si>
  <si>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</si>
  <si>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</si>
  <si>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</si>
  <si>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</si>
  <si>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</si>
  <si>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</si>
  <si>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</si>
  <si>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</si>
  <si>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</si>
  <si>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</si>
  <si>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</si>
  <si>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</si>
  <si>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</si>
  <si>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</si>
  <si>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</si>
  <si>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</si>
  <si>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</si>
  <si>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</si>
  <si>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</si>
  <si>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</si>
  <si>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</si>
  <si>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</si>
  <si>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</si>
  <si>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</si>
  <si>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</si>
  <si>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</si>
  <si>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</si>
  <si>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</si>
  <si>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</si>
  <si>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</si>
  <si>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</si>
  <si>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</si>
  <si>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</si>
  <si>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</si>
  <si>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</si>
  <si>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</si>
  <si>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</si>
  <si>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</si>
  <si>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</si>
  <si>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</si>
  <si>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</si>
  <si>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</si>
  <si>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</si>
  <si>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</si>
  <si>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</si>
  <si>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</si>
  <si>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</si>
  <si>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</si>
  <si>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</si>
  <si>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</si>
  <si>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</si>
  <si>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</si>
  <si>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</si>
  <si>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</si>
  <si>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</si>
  <si>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</si>
  <si>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</si>
  <si>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</si>
  <si>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</si>
  <si>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</si>
  <si>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</si>
  <si>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</si>
  <si>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</si>
  <si>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</si>
  <si>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</si>
  <si>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</si>
  <si>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</si>
  <si>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</si>
  <si>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</si>
  <si>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</si>
  <si>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</si>
  <si>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</si>
  <si>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</si>
  <si>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</si>
  <si>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</si>
  <si>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</si>
  <si>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</si>
  <si>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</si>
  <si>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</si>
  <si>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</si>
  <si>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</si>
  <si>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</si>
  <si>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</si>
  <si>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</si>
  <si>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</si>
  <si>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</si>
  <si>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</si>
  <si>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</si>
  <si>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</si>
  <si>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</si>
  <si>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</si>
  <si>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</si>
  <si>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</si>
  <si>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</si>
  <si>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</si>
  <si>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</si>
  <si>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</si>
  <si>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</si>
  <si>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</si>
  <si>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</si>
  <si>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</si>
  <si>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</si>
  <si>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</si>
  <si>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</si>
  <si>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</si>
  <si>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</si>
  <si>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</si>
  <si>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</si>
  <si>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</si>
  <si>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</si>
  <si>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</si>
  <si>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</si>
  <si>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</si>
  <si>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</si>
  <si>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</si>
  <si>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</si>
  <si>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</si>
  <si>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</si>
  <si>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</si>
  <si>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</si>
  <si>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</si>
  <si>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</si>
  <si>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</si>
  <si>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</si>
  <si>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</si>
  <si>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</si>
  <si>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</si>
  <si>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</si>
  <si>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</si>
  <si>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</si>
  <si>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</si>
  <si>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</si>
  <si>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</si>
  <si>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</si>
  <si>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</si>
  <si>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</si>
  <si>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</si>
  <si>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</si>
  <si>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</si>
  <si>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</si>
  <si>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</si>
  <si>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</si>
  <si>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</si>
  <si>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</si>
  <si>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</si>
  <si>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</si>
  <si>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</si>
  <si>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</si>
  <si>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</si>
  <si>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</si>
  <si>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</si>
  <si>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</si>
  <si>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</si>
  <si>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</si>
  <si>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</si>
  <si>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</si>
  <si>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</si>
  <si>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</si>
  <si>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</si>
  <si>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</si>
  <si>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</si>
  <si>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</si>
  <si>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</si>
  <si>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</si>
  <si>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</si>
  <si>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</si>
  <si>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</si>
  <si>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</si>
  <si>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</si>
  <si>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</si>
  <si>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</si>
  <si>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</si>
  <si>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</si>
  <si>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</si>
  <si>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</si>
  <si>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</si>
  <si>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</si>
  <si>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</si>
  <si>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</si>
  <si>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</si>
  <si>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</si>
  <si>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</si>
  <si>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</si>
  <si>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</si>
  <si>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</si>
  <si>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</si>
  <si>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</si>
  <si>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</si>
  <si>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</si>
  <si>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</si>
  <si>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</si>
  <si>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</si>
  <si>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</si>
  <si>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</si>
  <si>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</si>
  <si>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</si>
  <si>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</si>
  <si>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</si>
  <si>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</si>
  <si>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</si>
  <si>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</si>
  <si>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</si>
  <si>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</si>
  <si>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</si>
  <si>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</si>
  <si>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</si>
  <si>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</si>
  <si>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</si>
  <si>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</si>
  <si>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</si>
  <si>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</si>
  <si>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</si>
  <si>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</si>
  <si>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</si>
  <si>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</si>
  <si>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</si>
  <si>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</si>
  <si>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</si>
  <si>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</si>
  <si>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</si>
  <si>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</si>
  <si>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</si>
  <si>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</si>
  <si>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</si>
  <si>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</si>
  <si>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</si>
  <si>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</si>
  <si>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</si>
  <si>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</si>
  <si>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</si>
  <si>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</si>
  <si>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</si>
  <si>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</si>
  <si>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</si>
  <si>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</si>
  <si>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</si>
  <si>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</si>
  <si>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</si>
  <si>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</si>
  <si>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</si>
  <si>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</si>
  <si>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</si>
  <si>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</si>
  <si>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</si>
  <si>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</si>
  <si>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</si>
  <si>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</si>
  <si>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</si>
  <si>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</si>
  <si>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</si>
  <si>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</si>
  <si>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</si>
  <si>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</si>
  <si>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</si>
  <si>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</si>
  <si>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</si>
  <si>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</si>
  <si>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</si>
  <si>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</si>
  <si>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</si>
  <si>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</si>
  <si>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</si>
  <si>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</si>
  <si>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</si>
  <si>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</si>
  <si>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</si>
  <si>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</si>
  <si>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</si>
  <si>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</si>
  <si>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</si>
  <si>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</si>
  <si>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</si>
  <si>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</si>
  <si>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</si>
  <si>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</si>
  <si>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</si>
  <si>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</si>
  <si>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</si>
  <si>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</si>
  <si>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</si>
  <si>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</si>
  <si>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</si>
  <si>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</si>
  <si>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</si>
  <si>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</si>
  <si>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</si>
  <si>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</si>
  <si>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</si>
  <si>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</si>
  <si>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</si>
  <si>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</si>
  <si>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</si>
  <si>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</si>
  <si>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</si>
  <si>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</si>
  <si>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</si>
  <si>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</si>
  <si>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</si>
  <si>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</si>
  <si>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</si>
  <si>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</si>
  <si>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</si>
  <si>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</si>
  <si>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</si>
  <si>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</si>
  <si>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</si>
  <si>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</si>
  <si>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</si>
  <si>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</si>
  <si>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</si>
  <si>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</si>
  <si>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</si>
  <si>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</si>
  <si>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</si>
  <si>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</si>
  <si>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</si>
  <si>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</si>
  <si>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</si>
  <si>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</si>
  <si>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</si>
  <si>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</si>
  <si>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</si>
  <si>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</si>
  <si>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</si>
  <si>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</si>
  <si>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</si>
  <si>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</si>
  <si>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</si>
  <si>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</si>
  <si>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</si>
  <si>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</si>
  <si>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</si>
  <si>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</si>
  <si>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</si>
  <si>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</si>
  <si>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</si>
  <si>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</si>
  <si>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</si>
  <si>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</si>
  <si>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</si>
  <si>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</si>
  <si>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</si>
  <si>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</si>
  <si>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</si>
  <si>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</si>
  <si>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</si>
  <si>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</si>
  <si>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</si>
  <si>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</si>
  <si>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</si>
  <si>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</si>
  <si>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</si>
  <si>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</si>
  <si>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</si>
  <si>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</si>
  <si>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</si>
  <si>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</si>
  <si>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</si>
  <si>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</si>
  <si>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</si>
  <si>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</si>
  <si>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</si>
  <si>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</si>
  <si>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</si>
  <si>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</si>
  <si>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</si>
  <si>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</si>
  <si>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</si>
  <si>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
  </si>
  <si>
    <t>Enter smelter details</t>
  </si>
  <si>
    <t>False</t>
  </si>
  <si>
    <t>Smelter Not Yet Identified</t>
  </si>
  <si>
    <t>Anhui Hanrui New Materials Co., Ltd.</t>
  </si>
  <si>
    <t>Haut Katanga</t>
  </si>
  <si>
    <t>0</t>
  </si>
  <si>
    <t>Freeport Cobalt Oy</t>
  </si>
  <si>
    <t>Central Ostrobothnia</t>
  </si>
  <si>
    <t>CID003227</t>
  </si>
  <si>
    <t>Gangzhou Yi Hao Umicore Industry Co.</t>
  </si>
  <si>
    <t>Jiangxi</t>
  </si>
  <si>
    <t>Gem (Jiangsu) Cobalt Industrial Co., Ltd.</t>
  </si>
  <si>
    <t>Jiangsu</t>
  </si>
  <si>
    <t>Vest-Agder</t>
  </si>
  <si>
    <t>Guangxi</t>
  </si>
  <si>
    <t>Hunan</t>
  </si>
  <si>
    <t>Jiangxi Jiangwu Cobalt industrial Co., Ltd.</t>
  </si>
  <si>
    <t>CID003447</t>
  </si>
  <si>
    <t>Yichun</t>
  </si>
  <si>
    <t>lan zhou lin chuan Advanced Materials Technology co,ltd</t>
  </si>
  <si>
    <t>Gansu</t>
  </si>
  <si>
    <t>True</t>
  </si>
  <si>
    <t>Jinchuan Group. Co., Ltd.</t>
  </si>
  <si>
    <t>jovi_x_hi@126.com</t>
  </si>
  <si>
    <t>龙首矿/二矿区/三矿区</t>
  </si>
  <si>
    <t>Nihama-City</t>
  </si>
  <si>
    <t>SungEel HiTech Co.,Ltd.</t>
  </si>
  <si>
    <t>Trade secret</t>
  </si>
  <si>
    <t>P.O. Box 286 FI-67101 Kokkola Finland</t>
  </si>
  <si>
    <t>recycled</t>
  </si>
  <si>
    <t>sales</t>
  </si>
  <si>
    <t>freeportcobalt@fmi.com</t>
  </si>
  <si>
    <t>freeport cobalt oy kokkola</t>
  </si>
  <si>
    <t>unitary enterprise co ltd</t>
  </si>
  <si>
    <t>ute8888@ms33.hinet.net</t>
  </si>
  <si>
    <t>Yes,Compliant with the RMI Program Supply Chain  Smelter</t>
  </si>
  <si>
    <t>Vale Canada</t>
  </si>
  <si>
    <t>200 Bay Street, Royal Bank Plaza, Suite 1600, South Tower</t>
  </si>
  <si>
    <t>Zhejiang Huayou Cobalt Co.,Ltd.</t>
  </si>
  <si>
    <t>Zhejiang</t>
  </si>
  <si>
    <t>wsw@huayou.com</t>
  </si>
  <si>
    <t>無</t>
  </si>
  <si>
    <t>無列出</t>
  </si>
  <si>
    <t>TSC Auto ID Technology Co., Ltd.</t>
  </si>
  <si>
    <t>9F., No.95, Minquan Rd., Xindian Dist., New Taipei City 231, Taiwan (R.O.C.)</t>
  </si>
  <si>
    <t>Winson Lin</t>
  </si>
  <si>
    <t>winson_lin@tscprinters.com</t>
  </si>
  <si>
    <t>+886-3-9906677 Ext.5419</t>
  </si>
  <si>
    <t>Melson Lai</t>
  </si>
  <si>
    <t>Quality Dept.  Manager</t>
  </si>
  <si>
    <t>melson_lai@tscprinters.com</t>
  </si>
  <si>
    <t>+886-3-9906677 Ext.5411</t>
  </si>
  <si>
    <t>https://apac.tscprinters.com/en/responsible-minerals</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</si>
</sst>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mmmm\ d\,\ yyyy;@"/>
    <numFmt numFmtId="177" formatCode="[$-409]d\-mmm\-yyyy;@"/>
    <numFmt numFmtId="178" formatCode="0.0"/>
  </numFmts>
  <fonts count="113">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sz val="11"/>
      <color rgb="FF3F3F76"/>
      <name val="新細明體"/>
      <family val="2"/>
      <scheme val="minor"/>
    </font>
    <font>
      <sz val="11"/>
      <color rgb="FFFA7D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42">
    <fill>
      <patternFill patternType="none"/>
    </fill>
    <fill>
      <patternFill patternType="gray125"/>
    </fill>
    <fill>
      <patternFill patternType="solid">
        <fgColor theme="7" tint="0.59990234076967686"/>
        <bgColor indexed="64"/>
      </patternFill>
    </fill>
    <fill>
      <patternFill patternType="solid">
        <fgColor rgb="FFF2F2F2"/>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9389629810485"/>
        <bgColor indexed="65"/>
      </patternFill>
    </fill>
    <fill>
      <patternFill patternType="solid">
        <fgColor theme="4" tint="0.39994506668294322"/>
        <bgColor indexed="65"/>
      </patternFill>
    </fill>
    <fill>
      <patternFill patternType="solid">
        <fgColor theme="5"/>
      </patternFill>
    </fill>
    <fill>
      <patternFill patternType="solid">
        <fgColor theme="5" tint="0.79995117038483843"/>
        <bgColor indexed="65"/>
      </patternFill>
    </fill>
    <fill>
      <patternFill patternType="solid">
        <fgColor theme="5" tint="0.59999389629810485"/>
        <bgColor indexed="65"/>
      </patternFill>
    </fill>
    <fill>
      <patternFill patternType="solid">
        <fgColor theme="5" tint="0.39994506668294322"/>
        <bgColor indexed="65"/>
      </patternFill>
    </fill>
    <fill>
      <patternFill patternType="solid">
        <fgColor theme="6"/>
      </patternFill>
    </fill>
    <fill>
      <patternFill patternType="solid">
        <fgColor theme="6" tint="0.79995117038483843"/>
        <bgColor indexed="65"/>
      </patternFill>
    </fill>
    <fill>
      <patternFill patternType="solid">
        <fgColor theme="6" tint="0.59999389629810485"/>
        <bgColor indexed="65"/>
      </patternFill>
    </fill>
    <fill>
      <patternFill patternType="solid">
        <fgColor theme="6" tint="0.39994506668294322"/>
        <bgColor indexed="65"/>
      </patternFill>
    </fill>
    <fill>
      <patternFill patternType="solid">
        <fgColor theme="7"/>
      </patternFill>
    </fill>
    <fill>
      <patternFill patternType="solid">
        <fgColor theme="7" tint="0.79995117038483843"/>
        <bgColor indexed="65"/>
      </patternFill>
    </fill>
    <fill>
      <patternFill patternType="solid">
        <fgColor theme="7" tint="0.59999389629810485"/>
        <bgColor indexed="65"/>
      </patternFill>
    </fill>
    <fill>
      <patternFill patternType="solid">
        <fgColor theme="7" tint="0.39994506668294322"/>
        <bgColor indexed="65"/>
      </patternFill>
    </fill>
    <fill>
      <patternFill patternType="solid">
        <fgColor theme="8"/>
      </patternFill>
    </fill>
    <fill>
      <patternFill patternType="solid">
        <fgColor theme="8" tint="0.79995117038483843"/>
        <bgColor indexed="65"/>
      </patternFill>
    </fill>
    <fill>
      <patternFill patternType="solid">
        <fgColor theme="8" tint="0.59999389629810485"/>
        <bgColor indexed="65"/>
      </patternFill>
    </fill>
    <fill>
      <patternFill patternType="solid">
        <fgColor theme="8" tint="0.39994506668294322"/>
        <bgColor indexed="65"/>
      </patternFill>
    </fill>
    <fill>
      <patternFill patternType="solid">
        <fgColor theme="9"/>
      </patternFill>
    </fill>
    <fill>
      <patternFill patternType="solid">
        <fgColor theme="9" tint="0.79995117038483843"/>
        <bgColor indexed="65"/>
      </patternFill>
    </fill>
    <fill>
      <patternFill patternType="solid">
        <fgColor theme="9" tint="0.59999389629810485"/>
        <bgColor indexed="65"/>
      </patternFill>
    </fill>
    <fill>
      <patternFill patternType="solid">
        <fgColor theme="9" tint="0.39994506668294322"/>
        <bgColor indexed="65"/>
      </patternFill>
    </fill>
    <fill>
      <patternFill patternType="darkUp"/>
    </fill>
    <fill>
      <patternFill patternType="solid">
        <fgColor rgb="FFFFFF00"/>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249">
    <xf numFmtId="0" fontId="0" fillId="0" borderId="0" applyAlignment="0"/>
    <xf numFmtId="9" fontId="4" fillId="0" borderId="0" applyAlignment="0"/>
    <xf numFmtId="176" fontId="4" fillId="0" borderId="0" applyAlignment="0"/>
    <xf numFmtId="0" fontId="76" fillId="0" borderId="0" applyAlignment="0"/>
    <xf numFmtId="0" fontId="76" fillId="0" borderId="0" applyAlignment="0"/>
    <xf numFmtId="176" fontId="4"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4" fillId="0" borderId="0" applyAlignment="0"/>
    <xf numFmtId="0" fontId="4" fillId="0" borderId="0" applyAlignment="0"/>
    <xf numFmtId="0" fontId="4" fillId="0" borderId="0" applyAlignment="0"/>
    <xf numFmtId="176" fontId="4" fillId="0" borderId="0" applyAlignment="0"/>
    <xf numFmtId="0" fontId="10" fillId="0" borderId="0" applyAlignment="0"/>
    <xf numFmtId="176" fontId="76" fillId="0" borderId="0" applyAlignment="0"/>
    <xf numFmtId="0" fontId="5" fillId="0" borderId="0" applyAlignment="0"/>
    <xf numFmtId="0" fontId="5" fillId="0" borderId="0" applyAlignment="0"/>
    <xf numFmtId="176" fontId="10" fillId="0" borderId="0" applyAlignment="0"/>
    <xf numFmtId="0" fontId="5" fillId="0" borderId="0" applyAlignment="0"/>
    <xf numFmtId="0" fontId="10" fillId="0" borderId="0" applyAlignment="0"/>
    <xf numFmtId="0" fontId="5" fillId="0" borderId="0" applyAlignment="0"/>
    <xf numFmtId="0" fontId="60" fillId="0" borderId="0" applyAlignment="0">
      <alignment vertical="center"/>
    </xf>
    <xf numFmtId="176" fontId="4" fillId="0" borderId="0" applyAlignment="0"/>
    <xf numFmtId="0" fontId="61" fillId="0" borderId="0" applyAlignment="0"/>
    <xf numFmtId="0" fontId="5" fillId="0" borderId="0" applyAlignment="0"/>
    <xf numFmtId="0" fontId="76" fillId="0" borderId="0" applyAlignment="0"/>
    <xf numFmtId="0" fontId="61"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76" fillId="0" borderId="0" applyAlignment="0"/>
    <xf numFmtId="0" fontId="5" fillId="0" borderId="0" applyAlignment="0"/>
    <xf numFmtId="0" fontId="76" fillId="0" borderId="0" applyAlignment="0"/>
    <xf numFmtId="0" fontId="5"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61" fillId="0" borderId="0" applyAlignment="0"/>
    <xf numFmtId="0" fontId="61" fillId="0" borderId="0" applyAlignment="0"/>
    <xf numFmtId="0" fontId="5"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76" fillId="0" borderId="0" applyAlignment="0"/>
    <xf numFmtId="0" fontId="5" fillId="0" borderId="0" applyAlignment="0"/>
    <xf numFmtId="0" fontId="5" fillId="0" borderId="0" applyAlignment="0"/>
    <xf numFmtId="176" fontId="4" fillId="0" borderId="0" applyAlignment="0"/>
    <xf numFmtId="176" fontId="4" fillId="0" borderId="0" applyAlignment="0"/>
    <xf numFmtId="0" fontId="62" fillId="0" borderId="0" applyAlignment="0"/>
    <xf numFmtId="0" fontId="76" fillId="0" borderId="0" applyAlignment="0"/>
    <xf numFmtId="0" fontId="12" fillId="0" borderId="0" applyAlignment="0"/>
    <xf numFmtId="0" fontId="5" fillId="4" borderId="6" applyAlignment="0"/>
    <xf numFmtId="0" fontId="63" fillId="3" borderId="7" applyAlignment="0"/>
    <xf numFmtId="9" fontId="12" fillId="0" borderId="0" applyAlignment="0"/>
    <xf numFmtId="0" fontId="76"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4" fillId="0" borderId="0" applyAlignment="0"/>
    <xf numFmtId="0" fontId="64" fillId="0" borderId="0" applyAlignment="0"/>
    <xf numFmtId="0" fontId="65" fillId="0" borderId="8" applyAlignment="0"/>
    <xf numFmtId="0" fontId="66" fillId="0" borderId="0" applyAlignment="0"/>
    <xf numFmtId="176" fontId="12" fillId="0" borderId="0" applyAlignment="0"/>
    <xf numFmtId="0" fontId="76" fillId="0" borderId="0" applyAlignment="0"/>
    <xf numFmtId="0" fontId="76" fillId="0" borderId="0" applyAlignment="0"/>
    <xf numFmtId="0" fontId="76" fillId="0" borderId="0" applyAlignment="0"/>
    <xf numFmtId="176" fontId="76"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4" borderId="6" applyAlignment="0"/>
    <xf numFmtId="0" fontId="63" fillId="3" borderId="7"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5" fillId="0" borderId="0" applyAlignment="0"/>
    <xf numFmtId="0" fontId="64" fillId="0" borderId="0" applyAlignment="0"/>
    <xf numFmtId="0" fontId="55" fillId="0" borderId="3" applyAlignment="0"/>
    <xf numFmtId="0" fontId="56" fillId="0" borderId="61" applyAlignment="0"/>
    <xf numFmtId="0" fontId="57" fillId="0" borderId="4" applyAlignment="0"/>
    <xf numFmtId="0" fontId="57" fillId="0" borderId="0" applyAlignment="0"/>
    <xf numFmtId="0" fontId="54" fillId="9" borderId="0" applyAlignment="0"/>
    <xf numFmtId="0" fontId="50" fillId="10" borderId="0" applyAlignment="0"/>
    <xf numFmtId="0" fontId="80" fillId="11" borderId="0" applyAlignment="0"/>
    <xf numFmtId="0" fontId="58" fillId="12" borderId="1" applyAlignment="0"/>
    <xf numFmtId="0" fontId="63" fillId="13" borderId="7" applyAlignment="0"/>
    <xf numFmtId="0" fontId="51" fillId="13" borderId="1" applyAlignment="0"/>
    <xf numFmtId="0" fontId="59" fillId="0" borderId="5" applyAlignment="0"/>
    <xf numFmtId="0" fontId="52" fillId="14" borderId="2" applyAlignment="0"/>
    <xf numFmtId="0" fontId="66" fillId="0" borderId="0" applyAlignment="0"/>
    <xf numFmtId="0" fontId="53" fillId="0" borderId="0" applyAlignment="0"/>
    <xf numFmtId="0" fontId="65" fillId="0" borderId="8" applyAlignment="0"/>
    <xf numFmtId="0" fontId="49" fillId="16" borderId="0" applyAlignment="0"/>
    <xf numFmtId="0" fontId="3" fillId="17" borderId="0" applyAlignment="0"/>
    <xf numFmtId="0" fontId="3" fillId="18" borderId="0" applyAlignment="0"/>
    <xf numFmtId="0" fontId="3" fillId="19" borderId="0" applyAlignment="0"/>
    <xf numFmtId="0" fontId="49" fillId="20" borderId="0" applyAlignment="0"/>
    <xf numFmtId="0" fontId="3" fillId="21" borderId="0" applyAlignment="0"/>
    <xf numFmtId="0" fontId="3" fillId="22" borderId="0" applyAlignment="0"/>
    <xf numFmtId="0" fontId="3" fillId="23" borderId="0" applyAlignment="0"/>
    <xf numFmtId="0" fontId="49" fillId="24" borderId="0" applyAlignment="0"/>
    <xf numFmtId="0" fontId="3" fillId="25" borderId="0" applyAlignment="0"/>
    <xf numFmtId="0" fontId="3" fillId="26" borderId="0" applyAlignment="0"/>
    <xf numFmtId="0" fontId="3" fillId="27" borderId="0" applyAlignment="0"/>
    <xf numFmtId="0" fontId="49" fillId="28" borderId="0" applyAlignment="0"/>
    <xf numFmtId="0" fontId="3" fillId="29" borderId="0" applyAlignment="0"/>
    <xf numFmtId="0" fontId="3" fillId="30" borderId="0" applyAlignment="0"/>
    <xf numFmtId="0" fontId="3" fillId="31" borderId="0" applyAlignment="0"/>
    <xf numFmtId="0" fontId="49" fillId="32" borderId="0" applyAlignment="0"/>
    <xf numFmtId="0" fontId="3" fillId="33" borderId="0" applyAlignment="0"/>
    <xf numFmtId="0" fontId="3" fillId="34" borderId="0" applyAlignment="0"/>
    <xf numFmtId="0" fontId="3" fillId="35" borderId="0" applyAlignment="0"/>
    <xf numFmtId="0" fontId="49" fillId="36" borderId="0" applyAlignment="0"/>
    <xf numFmtId="0" fontId="3" fillId="37" borderId="0" applyAlignment="0"/>
    <xf numFmtId="0" fontId="3" fillId="38" borderId="0" applyAlignment="0"/>
    <xf numFmtId="0" fontId="3" fillId="39" borderId="0" applyAlignment="0"/>
    <xf numFmtId="0" fontId="3" fillId="0" borderId="0" applyAlignment="0"/>
    <xf numFmtId="0" fontId="3" fillId="15" borderId="6"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4" borderId="6"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4" borderId="6"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0" borderId="0" applyAlignment="0"/>
    <xf numFmtId="0" fontId="2" fillId="15" borderId="6" applyAlignment="0"/>
    <xf numFmtId="0" fontId="1" fillId="0" borderId="0" applyAlignment="0"/>
    <xf numFmtId="0" fontId="1" fillId="0" borderId="0" applyAlignment="0"/>
    <xf numFmtId="0" fontId="112" fillId="0" borderId="0" applyNumberFormat="0" applyFill="0" applyBorder="0" applyAlignment="0" applyProtection="0"/>
  </cellStyleXfs>
  <cellXfs count="416">
    <xf numFmtId="0" fontId="0" fillId="0" borderId="0" xfId="0"/>
    <xf numFmtId="0" fontId="17" fillId="5" borderId="9" xfId="0" applyFont="1" applyFill="1" applyBorder="1" applyAlignment="1">
      <alignment horizontal="center" vertical="center"/>
    </xf>
    <xf numFmtId="0" fontId="11" fillId="5" borderId="0" xfId="0" applyFont="1" applyFill="1"/>
    <xf numFmtId="0" fontId="0" fillId="5" borderId="0" xfId="0" applyFill="1"/>
    <xf numFmtId="0" fontId="0" fillId="5" borderId="10" xfId="0" applyFill="1" applyBorder="1" applyAlignment="1">
      <alignment vertical="top" wrapText="1"/>
    </xf>
    <xf numFmtId="0" fontId="0" fillId="5" borderId="11" xfId="0" applyFill="1" applyBorder="1" applyAlignment="1">
      <alignment vertical="top" wrapText="1"/>
    </xf>
    <xf numFmtId="0" fontId="0" fillId="5" borderId="12" xfId="0" applyFill="1" applyBorder="1"/>
    <xf numFmtId="0" fontId="13" fillId="5" borderId="0" xfId="0" applyFont="1" applyFill="1" applyAlignment="1">
      <alignment vertical="center"/>
    </xf>
    <xf numFmtId="0" fontId="19" fillId="5" borderId="0" xfId="0" applyFont="1" applyFill="1" applyAlignment="1">
      <alignment horizontal="left" wrapText="1"/>
    </xf>
    <xf numFmtId="0" fontId="17" fillId="5" borderId="0" xfId="0" applyFont="1" applyFill="1" applyAlignment="1">
      <alignment vertical="center"/>
    </xf>
    <xf numFmtId="0" fontId="17" fillId="5" borderId="0" xfId="0" applyFont="1" applyFill="1" applyAlignment="1">
      <alignment horizontal="center" vertical="center"/>
    </xf>
    <xf numFmtId="0" fontId="0" fillId="5" borderId="0" xfId="0" applyFill="1" applyAlignment="1">
      <alignment vertical="top"/>
    </xf>
    <xf numFmtId="0" fontId="11" fillId="5" borderId="0" xfId="0" applyFont="1" applyFill="1" applyProtection="1">
      <protection locked="0" hidden="1"/>
    </xf>
    <xf numFmtId="0" fontId="13" fillId="5" borderId="0" xfId="0" applyFont="1" applyFill="1" applyAlignment="1" applyProtection="1">
      <alignment horizontal="center" vertical="top"/>
      <protection locked="0" hidden="1"/>
    </xf>
    <xf numFmtId="0" fontId="13" fillId="5" borderId="0" xfId="0" applyFont="1" applyFill="1" applyAlignment="1" applyProtection="1">
      <alignment vertical="center"/>
      <protection locked="0" hidden="1"/>
    </xf>
    <xf numFmtId="0" fontId="17" fillId="5" borderId="0" xfId="0" applyFont="1" applyFill="1" applyAlignment="1" applyProtection="1">
      <alignment horizontal="left" wrapText="1"/>
      <protection locked="0" hidden="1"/>
    </xf>
    <xf numFmtId="0" fontId="0" fillId="0" borderId="0" xfId="0" applyProtection="1">
      <protection locked="0" hidden="1"/>
    </xf>
    <xf numFmtId="0" fontId="0" fillId="0" borderId="0" xfId="0" applyAlignment="1" applyProtection="1">
      <alignment wrapText="1"/>
      <protection locked="0" hidden="1"/>
    </xf>
    <xf numFmtId="0" fontId="0" fillId="5" borderId="0" xfId="0" applyFill="1" applyProtection="1">
      <protection locked="0" hidden="1"/>
    </xf>
    <xf numFmtId="0" fontId="16" fillId="5" borderId="0" xfId="0" applyFont="1" applyFill="1" applyAlignment="1" applyProtection="1">
      <alignment horizontal="right" vertical="center"/>
      <protection locked="0" hidden="1"/>
    </xf>
    <xf numFmtId="0" fontId="13" fillId="5" borderId="13" xfId="0" applyFont="1" applyFill="1" applyBorder="1" applyAlignment="1" applyProtection="1">
      <alignment vertical="center" wrapText="1"/>
      <protection locked="0" hidden="1"/>
    </xf>
    <xf numFmtId="0" fontId="13" fillId="5" borderId="14" xfId="0" applyFont="1" applyFill="1" applyBorder="1" applyAlignment="1" applyProtection="1">
      <alignment vertical="center" wrapText="1"/>
      <protection locked="0" hidden="1"/>
    </xf>
    <xf numFmtId="0" fontId="13" fillId="5" borderId="15" xfId="0" applyFont="1" applyFill="1" applyBorder="1" applyAlignment="1" applyProtection="1">
      <alignment vertical="center" wrapText="1"/>
      <protection locked="0" hidden="1"/>
    </xf>
    <xf numFmtId="0" fontId="13" fillId="5" borderId="14" xfId="0" applyFont="1" applyFill="1" applyBorder="1" applyAlignment="1" applyProtection="1">
      <alignment vertical="center" wrapText="1"/>
      <protection locked="0" hidden="1"/>
    </xf>
    <xf numFmtId="0" fontId="0" fillId="5" borderId="0" xfId="0" applyFill="1" applyProtection="1">
      <protection locked="0" hidden="1"/>
    </xf>
    <xf numFmtId="0" fontId="0" fillId="5" borderId="14" xfId="0" applyFill="1" applyBorder="1" applyAlignment="1">
      <alignment horizontal="center"/>
    </xf>
    <xf numFmtId="0" fontId="0" fillId="5" borderId="15" xfId="0" applyFill="1" applyBorder="1" applyAlignment="1">
      <alignment horizontal="center"/>
    </xf>
    <xf numFmtId="0" fontId="0" fillId="5" borderId="16" xfId="0" applyFill="1" applyBorder="1"/>
    <xf numFmtId="0" fontId="0" fillId="5" borderId="13" xfId="0" applyFill="1" applyBorder="1" applyAlignment="1">
      <alignment vertical="top" wrapText="1"/>
    </xf>
    <xf numFmtId="0" fontId="13" fillId="5" borderId="17" xfId="0" applyFont="1" applyFill="1" applyBorder="1" applyAlignment="1">
      <alignment vertical="center"/>
    </xf>
    <xf numFmtId="0" fontId="6" fillId="5" borderId="14" xfId="0" applyFont="1" applyFill="1" applyBorder="1" applyAlignment="1">
      <alignment vertical="center"/>
    </xf>
    <xf numFmtId="0" fontId="20" fillId="5" borderId="18" xfId="0" applyFont="1" applyFill="1" applyBorder="1" applyAlignment="1" applyProtection="1">
      <alignment horizontal="center" vertical="center"/>
      <protection locked="0" hidden="1"/>
    </xf>
    <xf numFmtId="0" fontId="13" fillId="5" borderId="19" xfId="0" applyFont="1" applyFill="1" applyBorder="1" applyAlignment="1">
      <alignment vertical="center"/>
    </xf>
    <xf numFmtId="0" fontId="6" fillId="5" borderId="20" xfId="0" applyFont="1" applyFill="1" applyBorder="1" applyAlignment="1">
      <alignment vertical="center"/>
    </xf>
    <xf numFmtId="0" fontId="16" fillId="5" borderId="18" xfId="0" applyFont="1" applyFill="1" applyBorder="1" applyAlignment="1" applyProtection="1">
      <alignment horizontal="right" vertical="center"/>
      <protection locked="0" hidden="1"/>
    </xf>
    <xf numFmtId="0" fontId="13" fillId="5" borderId="13" xfId="0" applyFont="1" applyFill="1" applyBorder="1" applyAlignment="1">
      <alignment vertical="center"/>
    </xf>
    <xf numFmtId="0" fontId="13" fillId="5" borderId="21" xfId="0" applyFont="1" applyFill="1" applyBorder="1" applyAlignment="1">
      <alignment vertical="center"/>
    </xf>
    <xf numFmtId="0" fontId="6" fillId="5" borderId="22" xfId="0" applyFont="1" applyFill="1" applyBorder="1" applyAlignment="1">
      <alignment vertical="center"/>
    </xf>
    <xf numFmtId="0" fontId="16" fillId="5" borderId="23" xfId="0" applyFont="1" applyFill="1" applyBorder="1" applyAlignment="1" applyProtection="1">
      <alignment wrapText="1"/>
      <protection locked="0" hidden="1"/>
    </xf>
    <xf numFmtId="0" fontId="0" fillId="6" borderId="16" xfId="0" applyFill="1" applyBorder="1"/>
    <xf numFmtId="0" fontId="16" fillId="5" borderId="24" xfId="0" applyFont="1" applyFill="1" applyBorder="1" applyAlignment="1" applyProtection="1">
      <alignment horizontal="right" vertical="center"/>
      <protection locked="0" hidden="1"/>
    </xf>
    <xf numFmtId="0" fontId="28" fillId="5" borderId="0" xfId="0" applyFont="1" applyFill="1" applyAlignment="1">
      <alignment horizontal="right" vertical="center"/>
    </xf>
    <xf numFmtId="0" fontId="29" fillId="5" borderId="0" xfId="0" applyFont="1" applyFill="1" applyAlignment="1">
      <alignment vertical="center"/>
    </xf>
    <xf numFmtId="0" fontId="13" fillId="5" borderId="25" xfId="0" applyFont="1" applyFill="1" applyBorder="1" applyAlignment="1">
      <alignment vertical="center"/>
    </xf>
    <xf numFmtId="0" fontId="29" fillId="5" borderId="23" xfId="0" applyFont="1" applyFill="1" applyBorder="1" applyAlignment="1">
      <alignment vertical="center"/>
    </xf>
    <xf numFmtId="0" fontId="13" fillId="5" borderId="26" xfId="0" applyFont="1" applyFill="1" applyBorder="1" applyAlignment="1">
      <alignment vertical="center"/>
    </xf>
    <xf numFmtId="2" fontId="16" fillId="5" borderId="9" xfId="0" applyNumberFormat="1" applyFont="1" applyFill="1" applyBorder="1" applyAlignment="1" applyProtection="1">
      <alignment horizontal="left" wrapText="1"/>
      <protection locked="0" hidden="1"/>
    </xf>
    <xf numFmtId="0" fontId="16" fillId="5" borderId="24" xfId="0" applyFont="1" applyFill="1" applyBorder="1" applyAlignment="1" applyProtection="1">
      <alignment horizontal="left"/>
      <protection locked="0" hidden="1"/>
    </xf>
    <xf numFmtId="0" fontId="17" fillId="5" borderId="9" xfId="0" applyFont="1" applyFill="1" applyBorder="1" applyAlignment="1">
      <alignment horizontal="left" vertical="center"/>
    </xf>
    <xf numFmtId="0" fontId="6" fillId="5" borderId="27" xfId="0" applyFont="1" applyFill="1" applyBorder="1" applyAlignment="1">
      <alignment vertical="center"/>
    </xf>
    <xf numFmtId="0" fontId="17" fillId="5" borderId="18" xfId="0" applyFont="1" applyFill="1" applyBorder="1" applyAlignment="1" applyProtection="1">
      <alignment vertical="center" wrapText="1"/>
      <protection locked="0" hidden="1"/>
    </xf>
    <xf numFmtId="0" fontId="17" fillId="5" borderId="17" xfId="0" applyFont="1" applyFill="1" applyBorder="1" applyAlignment="1">
      <alignment vertical="center"/>
    </xf>
    <xf numFmtId="0" fontId="17" fillId="5" borderId="9" xfId="0" applyFont="1" applyFill="1" applyBorder="1" applyAlignment="1" applyProtection="1">
      <alignment vertical="center" wrapText="1"/>
      <protection locked="0" hidden="1"/>
    </xf>
    <xf numFmtId="2" fontId="18" fillId="5" borderId="9" xfId="0" applyNumberFormat="1" applyFont="1" applyFill="1" applyBorder="1" applyAlignment="1" applyProtection="1">
      <alignment horizontal="left" wrapText="1"/>
      <protection locked="0" hidden="1"/>
    </xf>
    <xf numFmtId="0" fontId="17" fillId="5" borderId="9" xfId="0" applyFont="1" applyFill="1" applyBorder="1" applyAlignment="1">
      <alignment vertical="center"/>
    </xf>
    <xf numFmtId="0" fontId="17" fillId="5" borderId="9" xfId="0" applyFont="1" applyFill="1" applyBorder="1" applyAlignment="1" applyProtection="1">
      <alignment horizontal="center" vertical="center" wrapText="1"/>
      <protection locked="0" hidden="1"/>
    </xf>
    <xf numFmtId="0" fontId="6" fillId="5" borderId="15" xfId="0" applyFont="1" applyFill="1" applyBorder="1" applyAlignment="1">
      <alignment vertical="center"/>
    </xf>
    <xf numFmtId="0" fontId="11" fillId="0" borderId="0" xfId="93" applyFont="1"/>
    <xf numFmtId="0" fontId="76" fillId="0" borderId="0" xfId="93"/>
    <xf numFmtId="0" fontId="22" fillId="0" borderId="0" xfId="0" applyFont="1" applyFill="1" applyBorder="1" applyAlignment="1" applyProtection="1">
      <alignment horizontal="center"/>
      <protection locked="0" hidden="1"/>
    </xf>
    <xf numFmtId="0" fontId="22" fillId="0" borderId="0" xfId="0" applyFont="1" applyFill="1" applyBorder="1" applyAlignment="1" applyProtection="1">
      <alignment horizontal="center" wrapText="1"/>
      <protection locked="0" hidden="1"/>
    </xf>
    <xf numFmtId="0" fontId="7" fillId="0" borderId="0" xfId="0" applyFont="1" applyAlignment="1" applyProtection="1">
      <alignment horizontal="center"/>
      <protection locked="0" hidden="1"/>
    </xf>
    <xf numFmtId="0" fontId="25" fillId="0" borderId="0" xfId="0" applyFont="1" applyProtection="1">
      <protection locked="0" hidden="1"/>
    </xf>
    <xf numFmtId="3" fontId="0" fillId="6" borderId="0" xfId="0" applyNumberFormat="1" applyFill="1" applyProtection="1">
      <protection locked="0" hidden="1"/>
    </xf>
    <xf numFmtId="0" fontId="0" fillId="6" borderId="0" xfId="0" applyFill="1" applyProtection="1">
      <protection locked="0" hidden="1"/>
    </xf>
    <xf numFmtId="0" fontId="16" fillId="5" borderId="23" xfId="0" applyFont="1" applyFill="1" applyBorder="1" applyAlignment="1" applyProtection="1">
      <alignment horizontal="center" wrapText="1"/>
      <protection locked="0" hidden="1"/>
    </xf>
    <xf numFmtId="0" fontId="16" fillId="5" borderId="25" xfId="0" applyFont="1" applyFill="1" applyBorder="1" applyAlignment="1" applyProtection="1">
      <alignment horizontal="right" vertical="center"/>
      <protection locked="0" hidden="1"/>
    </xf>
    <xf numFmtId="0" fontId="13" fillId="5" borderId="28" xfId="0" applyFont="1" applyFill="1" applyBorder="1" applyAlignment="1" applyProtection="1">
      <alignment vertical="center"/>
      <protection locked="0" hidden="1"/>
    </xf>
    <xf numFmtId="0" fontId="13" fillId="5" borderId="17" xfId="0" applyFont="1" applyFill="1" applyBorder="1" applyAlignment="1" applyProtection="1">
      <alignment vertical="center"/>
      <protection locked="0" hidden="1"/>
    </xf>
    <xf numFmtId="0" fontId="13" fillId="5" borderId="29" xfId="0" applyFont="1" applyFill="1" applyBorder="1" applyAlignment="1" applyProtection="1">
      <alignment vertical="center"/>
      <protection locked="0" hidden="1"/>
    </xf>
    <xf numFmtId="0" fontId="16" fillId="5" borderId="0" xfId="0" applyFont="1" applyFill="1" applyAlignment="1" applyProtection="1">
      <alignment wrapText="1"/>
      <protection locked="0" hidden="1"/>
    </xf>
    <xf numFmtId="0" fontId="13" fillId="5" borderId="0" xfId="0" applyFont="1" applyFill="1" applyAlignment="1" applyProtection="1">
      <alignment horizontal="left" vertical="center"/>
      <protection locked="0" hidden="1"/>
    </xf>
    <xf numFmtId="2" fontId="16" fillId="5" borderId="24" xfId="0" applyNumberFormat="1" applyFont="1" applyFill="1" applyBorder="1" applyAlignment="1" applyProtection="1">
      <alignment horizontal="left" vertical="center" wrapText="1"/>
      <protection locked="0" hidden="1"/>
    </xf>
    <xf numFmtId="0" fontId="17" fillId="5" borderId="9" xfId="0" applyFont="1" applyFill="1" applyBorder="1" applyAlignment="1" applyProtection="1">
      <alignment horizontal="left" vertical="center"/>
      <protection locked="0" hidden="1"/>
    </xf>
    <xf numFmtId="0" fontId="19" fillId="5" borderId="23" xfId="0" applyFont="1" applyFill="1" applyBorder="1" applyAlignment="1" applyProtection="1">
      <alignment horizontal="left" vertical="center" wrapText="1"/>
      <protection locked="0" hidden="1"/>
    </xf>
    <xf numFmtId="0" fontId="28" fillId="5" borderId="0" xfId="0" applyFont="1" applyFill="1" applyAlignment="1" applyProtection="1">
      <alignment horizontal="right" vertical="center"/>
      <protection locked="0" hidden="1"/>
    </xf>
    <xf numFmtId="0" fontId="17" fillId="5" borderId="24" xfId="0" applyFont="1" applyFill="1" applyBorder="1" applyAlignment="1" applyProtection="1">
      <alignment horizontal="center" vertical="center"/>
      <protection locked="0" hidden="1"/>
    </xf>
    <xf numFmtId="0" fontId="17" fillId="5" borderId="24" xfId="0" applyFont="1" applyFill="1" applyBorder="1" applyAlignment="1" applyProtection="1">
      <alignment horizontal="left" vertical="center"/>
      <protection locked="0" hidden="1"/>
    </xf>
    <xf numFmtId="0" fontId="17" fillId="5" borderId="0" xfId="0" applyFont="1" applyFill="1" applyAlignment="1" applyProtection="1">
      <alignment horizontal="center" vertical="center"/>
      <protection locked="0" hidden="1"/>
    </xf>
    <xf numFmtId="0" fontId="17" fillId="5" borderId="0" xfId="0" applyFont="1" applyFill="1" applyAlignment="1" applyProtection="1">
      <alignment horizontal="left" vertical="center"/>
      <protection locked="0" hidden="1"/>
    </xf>
    <xf numFmtId="0" fontId="0" fillId="0" borderId="16" xfId="0" applyBorder="1" applyAlignment="1" applyProtection="1">
      <alignment horizontal="left" vertical="center" wrapText="1"/>
      <protection locked="0" hidden="1"/>
    </xf>
    <xf numFmtId="0" fontId="0" fillId="0" borderId="16" xfId="0" applyBorder="1" applyAlignment="1" applyProtection="1">
      <alignment horizontal="left" vertical="center"/>
      <protection locked="0" hidden="1"/>
    </xf>
    <xf numFmtId="177" fontId="0" fillId="0" borderId="16" xfId="0" applyNumberFormat="1" applyBorder="1" applyAlignment="1" applyProtection="1">
      <alignment horizontal="left" vertical="center" wrapText="1"/>
      <protection locked="0" hidden="1"/>
    </xf>
    <xf numFmtId="0" fontId="0" fillId="1" borderId="16" xfId="0" applyFill="1" applyBorder="1" applyAlignment="1" applyProtection="1">
      <alignment horizontal="left" vertical="center" wrapText="1"/>
      <protection locked="0" hidden="1"/>
    </xf>
    <xf numFmtId="1" fontId="0" fillId="0" borderId="0" xfId="0" applyNumberFormat="1" applyProtection="1">
      <protection locked="0" hidden="1"/>
    </xf>
    <xf numFmtId="1" fontId="0" fillId="6" borderId="0" xfId="0" applyNumberFormat="1" applyFill="1" applyProtection="1">
      <protection locked="0" hidden="1"/>
    </xf>
    <xf numFmtId="0" fontId="71" fillId="0" borderId="16" xfId="0" applyFont="1" applyFill="1" applyBorder="1" applyAlignment="1" applyProtection="1">
      <alignment vertical="center" wrapText="1"/>
      <protection locked="0" hidden="1"/>
    </xf>
    <xf numFmtId="0" fontId="0" fillId="1" borderId="16" xfId="0" applyFill="1" applyBorder="1" applyAlignment="1" applyProtection="1">
      <alignment vertical="center" wrapText="1"/>
      <protection locked="0" hidden="1"/>
    </xf>
    <xf numFmtId="0" fontId="71" fillId="0" borderId="16" xfId="0" applyFont="1" applyFill="1" applyBorder="1" applyAlignment="1" applyProtection="1">
      <alignment vertical="center" wrapText="1"/>
      <protection locked="0" hidden="1"/>
    </xf>
    <xf numFmtId="0" fontId="71" fillId="0" borderId="16" xfId="0" applyFont="1" applyFill="1" applyBorder="1" applyAlignment="1" applyProtection="1">
      <alignment vertical="center" wrapText="1"/>
    </xf>
    <xf numFmtId="0" fontId="17" fillId="5" borderId="18"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locked="0" hidden="1"/>
    </xf>
    <xf numFmtId="49" fontId="0" fillId="0" borderId="0" xfId="0" applyNumberFormat="1" applyProtection="1">
      <protection locked="0" hidden="1"/>
    </xf>
    <xf numFmtId="0" fontId="34" fillId="0" borderId="0" xfId="0" applyFont="1" applyProtection="1">
      <protection locked="0" hidden="1"/>
    </xf>
    <xf numFmtId="0" fontId="7" fillId="0" borderId="30" xfId="0" applyFont="1" applyBorder="1" applyAlignment="1" applyProtection="1">
      <alignment vertical="center" wrapText="1"/>
      <protection locked="0" hidden="1"/>
    </xf>
    <xf numFmtId="0" fontId="31" fillId="0" borderId="30" xfId="0" applyFont="1" applyBorder="1" applyAlignment="1" applyProtection="1">
      <alignment vertical="center" wrapText="1"/>
      <protection locked="0" hidden="1"/>
    </xf>
    <xf numFmtId="0" fontId="8" fillId="0" borderId="0" xfId="0" applyFont="1"/>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8" fillId="0" borderId="13" xfId="0" applyFont="1" applyBorder="1" applyAlignment="1">
      <alignment wrapText="1"/>
    </xf>
    <xf numFmtId="0" fontId="0" fillId="0" borderId="0" xfId="0" applyAlignment="1">
      <alignment vertical="top" wrapText="1"/>
    </xf>
    <xf numFmtId="0" fontId="8" fillId="0" borderId="13"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7" fillId="0" borderId="13" xfId="0" applyFont="1" applyBorder="1" applyAlignment="1">
      <alignment wrapText="1"/>
    </xf>
    <xf numFmtId="0" fontId="30" fillId="0" borderId="0" xfId="0" applyFont="1" applyAlignment="1">
      <alignment horizontal="right" wrapText="1"/>
    </xf>
    <xf numFmtId="0" fontId="32" fillId="5" borderId="12" xfId="0" applyFont="1" applyFill="1" applyBorder="1" applyAlignment="1" applyProtection="1">
      <alignment horizontal="center" vertical="center" wrapText="1"/>
      <protection locked="0" hidden="1"/>
    </xf>
    <xf numFmtId="0" fontId="35" fillId="0" borderId="0" xfId="0" applyFont="1" applyAlignment="1" applyProtection="1">
      <alignment horizontal="center" wrapText="1"/>
      <protection locked="0" hidden="1"/>
    </xf>
    <xf numFmtId="0" fontId="13" fillId="5" borderId="0" xfId="0" applyFont="1" applyFill="1" applyAlignment="1" applyProtection="1">
      <alignment horizontal="center" vertical="center" wrapText="1"/>
      <protection locked="0" hidden="1"/>
    </xf>
    <xf numFmtId="49" fontId="17" fillId="5" borderId="31" xfId="0" applyNumberFormat="1" applyFont="1" applyFill="1" applyBorder="1" applyAlignment="1" applyProtection="1">
      <alignment horizontal="left" vertical="center" wrapText="1"/>
      <protection locked="0"/>
    </xf>
    <xf numFmtId="0" fontId="71" fillId="0" borderId="0" xfId="0" applyFont="1" applyFill="1" applyBorder="1" applyAlignment="1" applyProtection="1">
      <alignment horizontal="center"/>
      <protection locked="0" hidden="1"/>
    </xf>
    <xf numFmtId="0" fontId="36" fillId="5" borderId="28" xfId="0" applyFont="1" applyFill="1" applyBorder="1" applyAlignment="1" applyProtection="1">
      <alignment horizontal="left" vertical="center"/>
      <protection locked="0" hidden="1"/>
    </xf>
    <xf numFmtId="0" fontId="37" fillId="5" borderId="0" xfId="0" applyFont="1" applyFill="1" applyBorder="1" applyAlignment="1" applyProtection="1">
      <alignment vertical="center"/>
    </xf>
    <xf numFmtId="0" fontId="37" fillId="5" borderId="0" xfId="0" applyFont="1" applyFill="1" applyBorder="1" applyAlignment="1" applyProtection="1">
      <alignment horizontal="center" vertical="center"/>
      <protection locked="0" hidden="1"/>
    </xf>
    <xf numFmtId="0" fontId="38" fillId="0" borderId="23" xfId="0" applyFont="1" applyFill="1" applyBorder="1" applyAlignment="1" applyProtection="1">
      <alignment horizontal="center"/>
      <protection locked="0" hidden="1"/>
    </xf>
    <xf numFmtId="0" fontId="40" fillId="5" borderId="32" xfId="0" applyFont="1" applyFill="1" applyBorder="1" applyAlignment="1" applyProtection="1">
      <alignment horizontal="center" vertical="center" wrapText="1"/>
      <protection locked="0" hidden="1"/>
    </xf>
    <xf numFmtId="0" fontId="40" fillId="5" borderId="0" xfId="0" applyFont="1" applyFill="1" applyAlignment="1" applyProtection="1">
      <alignment horizontal="center" vertical="center" wrapText="1"/>
      <protection locked="0" hidden="1"/>
    </xf>
    <xf numFmtId="0" fontId="13" fillId="5" borderId="33" xfId="0" applyFont="1" applyFill="1" applyBorder="1" applyAlignment="1" applyProtection="1">
      <alignment vertical="center" wrapText="1"/>
      <protection locked="0"/>
    </xf>
    <xf numFmtId="0" fontId="13" fillId="5" borderId="34" xfId="0" applyFont="1" applyFill="1" applyBorder="1" applyAlignment="1" applyProtection="1">
      <alignment vertical="center" wrapText="1"/>
      <protection locked="0"/>
    </xf>
    <xf numFmtId="0" fontId="13" fillId="5" borderId="35" xfId="0" applyFont="1" applyFill="1" applyBorder="1" applyAlignment="1" applyProtection="1">
      <alignment vertical="center" wrapText="1"/>
      <protection locked="0"/>
    </xf>
    <xf numFmtId="0" fontId="16" fillId="5" borderId="13" xfId="0" applyFont="1" applyFill="1" applyBorder="1" applyAlignment="1" applyProtection="1">
      <alignment horizontal="center" wrapText="1"/>
      <protection locked="0"/>
    </xf>
    <xf numFmtId="0" fontId="16" fillId="5" borderId="23" xfId="0" applyFont="1" applyFill="1" applyBorder="1" applyAlignment="1" applyProtection="1">
      <alignment horizontal="left" vertical="center" wrapText="1"/>
      <protection locked="0" hidden="1"/>
    </xf>
    <xf numFmtId="0" fontId="16" fillId="5" borderId="36" xfId="0" applyFont="1" applyFill="1" applyBorder="1" applyAlignment="1" applyProtection="1">
      <alignment horizontal="center" wrapText="1"/>
      <protection locked="0" hidden="1"/>
    </xf>
    <xf numFmtId="0" fontId="13" fillId="5" borderId="32" xfId="0" applyFont="1" applyFill="1" applyBorder="1" applyAlignment="1" applyProtection="1">
      <alignment vertical="center"/>
      <protection locked="0" hidden="1"/>
    </xf>
    <xf numFmtId="0" fontId="34" fillId="5" borderId="13" xfId="0" applyFont="1" applyFill="1" applyBorder="1" applyAlignment="1">
      <alignment vertical="top" wrapText="1"/>
    </xf>
    <xf numFmtId="0" fontId="47" fillId="0" borderId="0" xfId="0" applyFont="1" applyAlignment="1">
      <alignment vertical="top" wrapText="1"/>
    </xf>
    <xf numFmtId="0" fontId="45" fillId="0" borderId="0" xfId="31" applyFont="1" applyAlignment="1">
      <alignment vertical="top" wrapText="1"/>
    </xf>
    <xf numFmtId="0" fontId="16" fillId="5" borderId="0" xfId="0" applyFont="1" applyFill="1" applyAlignment="1" applyProtection="1">
      <alignment horizontal="center" vertical="center" wrapText="1"/>
      <protection locked="0" hidden="1"/>
    </xf>
    <xf numFmtId="0" fontId="16" fillId="5" borderId="36" xfId="0" applyFont="1" applyFill="1" applyBorder="1" applyAlignment="1" applyProtection="1">
      <alignment horizontal="center" vertical="center" wrapText="1"/>
      <protection locked="0" hidden="1"/>
    </xf>
    <xf numFmtId="0" fontId="16" fillId="5" borderId="37" xfId="0" applyFont="1" applyFill="1" applyBorder="1" applyAlignment="1" applyProtection="1">
      <alignment horizontal="center" vertical="center" wrapText="1"/>
      <protection locked="0" hidden="1"/>
    </xf>
    <xf numFmtId="0" fontId="44" fillId="0" borderId="0" xfId="0" applyFont="1"/>
    <xf numFmtId="0" fontId="0" fillId="7" borderId="0" xfId="0" applyFill="1" applyProtection="1">
      <protection locked="0" hidden="1"/>
    </xf>
    <xf numFmtId="1" fontId="35" fillId="0" borderId="0" xfId="0" applyNumberFormat="1" applyFont="1" applyAlignment="1" applyProtection="1">
      <alignment horizontal="center" vertical="center" wrapText="1"/>
      <protection locked="0" hidden="1"/>
    </xf>
    <xf numFmtId="0" fontId="67" fillId="2" borderId="0" xfId="0" applyFont="1" applyFill="1" applyProtection="1">
      <protection locked="0" hidden="1"/>
    </xf>
    <xf numFmtId="0" fontId="0" fillId="8" borderId="16" xfId="0" applyFill="1" applyBorder="1" applyAlignment="1" applyProtection="1">
      <alignment horizontal="left" vertical="center"/>
      <protection locked="0" hidden="1"/>
    </xf>
    <xf numFmtId="0" fontId="0" fillId="8" borderId="16" xfId="0" applyFill="1" applyBorder="1" applyAlignment="1" applyProtection="1">
      <alignment horizontal="left" vertical="center" wrapText="1"/>
      <protection locked="0" hidden="1"/>
    </xf>
    <xf numFmtId="0" fontId="13" fillId="5" borderId="38" xfId="0" applyFont="1" applyFill="1" applyBorder="1" applyAlignment="1" applyProtection="1">
      <alignment horizontal="center" vertical="center" wrapText="1"/>
      <protection locked="0" hidden="1"/>
    </xf>
    <xf numFmtId="0" fontId="13" fillId="5" borderId="39" xfId="0" applyFont="1" applyFill="1" applyBorder="1" applyAlignment="1" applyProtection="1">
      <alignment horizontal="center" vertical="center" wrapText="1"/>
      <protection locked="0" hidden="1"/>
    </xf>
    <xf numFmtId="0" fontId="0" fillId="6" borderId="0" xfId="0" applyFill="1" applyAlignment="1" applyProtection="1">
      <alignment wrapText="1"/>
      <protection locked="0" hidden="1"/>
    </xf>
    <xf numFmtId="0" fontId="0" fillId="0" borderId="0" xfId="0" applyAlignment="1" applyProtection="1">
      <alignment horizontal="center" vertical="center" wrapText="1"/>
      <protection locked="0" hidden="1"/>
    </xf>
    <xf numFmtId="0" fontId="68" fillId="7" borderId="16" xfId="0" applyFont="1" applyFill="1" applyBorder="1" applyAlignment="1" applyProtection="1">
      <alignment horizontal="left" vertical="center" wrapText="1"/>
      <protection locked="0" hidden="1"/>
    </xf>
    <xf numFmtId="0" fontId="33" fillId="0" borderId="43" xfId="0" applyFont="1" applyBorder="1" applyAlignment="1" applyProtection="1">
      <alignment vertical="center" wrapText="1"/>
      <protection locked="0" hidden="1"/>
    </xf>
    <xf numFmtId="0" fontId="47" fillId="0" borderId="0" xfId="0" applyFont="1" applyAlignment="1">
      <alignment horizontal="left" vertical="top" wrapText="1"/>
    </xf>
    <xf numFmtId="0" fontId="47" fillId="0" borderId="0" xfId="0" applyFont="1" applyAlignment="1" applyProtection="1">
      <alignment wrapText="1"/>
      <protection locked="0" hidden="1"/>
    </xf>
    <xf numFmtId="176" fontId="0" fillId="5" borderId="11" xfId="0" applyNumberFormat="1" applyFill="1" applyBorder="1" applyAlignment="1">
      <alignment vertical="top" wrapText="1"/>
    </xf>
    <xf numFmtId="176" fontId="0" fillId="5" borderId="0" xfId="0" applyNumberFormat="1" applyFill="1"/>
    <xf numFmtId="176" fontId="11" fillId="5" borderId="0" xfId="0" applyNumberFormat="1" applyFont="1" applyFill="1"/>
    <xf numFmtId="176" fontId="0" fillId="0" borderId="0" xfId="0" applyNumberFormat="1"/>
    <xf numFmtId="0" fontId="0" fillId="0" borderId="44" xfId="0" applyBorder="1" applyAlignment="1" applyProtection="1">
      <alignment horizontal="left" vertical="center" wrapText="1"/>
      <protection locked="0" hidden="1"/>
    </xf>
    <xf numFmtId="0" fontId="0" fillId="0" borderId="16" xfId="0" applyBorder="1" applyAlignment="1" applyProtection="1">
      <alignment wrapText="1"/>
      <protection locked="0"/>
    </xf>
    <xf numFmtId="0" fontId="0" fillId="0" borderId="45" xfId="0" applyBorder="1" applyAlignment="1" applyProtection="1">
      <alignment wrapText="1"/>
      <protection locked="0"/>
    </xf>
    <xf numFmtId="0" fontId="0" fillId="0" borderId="16" xfId="0" applyBorder="1" applyAlignment="1" applyProtection="1">
      <alignment vertical="center" wrapText="1"/>
      <protection locked="0" hidden="1"/>
    </xf>
    <xf numFmtId="0" fontId="14" fillId="0" borderId="43" xfId="0" applyFont="1" applyBorder="1" applyAlignment="1" applyProtection="1">
      <alignment vertical="center" wrapText="1"/>
      <protection locked="0" hidden="1"/>
    </xf>
    <xf numFmtId="0" fontId="11" fillId="0" borderId="0" xfId="0" applyFont="1"/>
    <xf numFmtId="0" fontId="0" fillId="5" borderId="16"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locked="0" hidden="1"/>
    </xf>
    <xf numFmtId="0" fontId="0" fillId="0" borderId="0" xfId="0" applyAlignment="1" applyProtection="1">
      <alignment vertical="center" wrapText="1"/>
      <protection locked="0" hidden="1"/>
    </xf>
    <xf numFmtId="0" fontId="0" fillId="0" borderId="0" xfId="0" applyAlignment="1" applyProtection="1">
      <alignment vertical="center"/>
      <protection locked="0" hidden="1"/>
    </xf>
    <xf numFmtId="0" fontId="13" fillId="5" borderId="24" xfId="0" applyFont="1" applyFill="1" applyBorder="1" applyAlignment="1" applyProtection="1">
      <alignment vertical="center" wrapText="1"/>
      <protection locked="0" hidden="1"/>
    </xf>
    <xf numFmtId="0" fontId="39" fillId="5" borderId="0" xfId="0" applyFont="1" applyFill="1" applyBorder="1" applyAlignment="1" applyProtection="1">
      <alignment horizontal="center" vertical="center" wrapText="1"/>
      <protection locked="0" hidden="1"/>
    </xf>
    <xf numFmtId="0" fontId="13" fillId="5" borderId="46" xfId="0" applyFont="1" applyFill="1" applyBorder="1" applyAlignment="1" applyProtection="1">
      <alignment vertical="center" wrapText="1"/>
      <protection locked="0" hidden="1"/>
    </xf>
    <xf numFmtId="0" fontId="13" fillId="5" borderId="0" xfId="0" applyFont="1" applyFill="1" applyAlignment="1" applyProtection="1">
      <alignment vertical="center" wrapText="1"/>
      <protection locked="0" hidden="1"/>
    </xf>
    <xf numFmtId="0" fontId="13" fillId="5" borderId="23" xfId="0" applyFont="1" applyFill="1" applyBorder="1" applyAlignment="1" applyProtection="1">
      <alignment wrapText="1"/>
      <protection locked="0" hidden="1"/>
    </xf>
    <xf numFmtId="0" fontId="41" fillId="5" borderId="0" xfId="0" applyFont="1" applyFill="1" applyAlignment="1" applyProtection="1">
      <alignment horizontal="center" vertical="center" wrapText="1"/>
      <protection locked="0" hidden="1"/>
    </xf>
    <xf numFmtId="0" fontId="13" fillId="0" borderId="0" xfId="0" applyFont="1" applyAlignment="1" applyProtection="1">
      <alignment horizontal="center" vertical="center" wrapText="1"/>
      <protection locked="0" hidden="1"/>
    </xf>
    <xf numFmtId="0" fontId="26"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7" fillId="0" borderId="47" xfId="0" applyFont="1" applyBorder="1" applyAlignment="1" applyProtection="1">
      <alignment vertical="center" wrapText="1"/>
      <protection locked="0" hidden="1"/>
    </xf>
    <xf numFmtId="0" fontId="17" fillId="5" borderId="0" xfId="0" applyFont="1" applyFill="1" applyAlignment="1" applyProtection="1">
      <alignment vertical="center" wrapText="1"/>
      <protection locked="0" hidden="1"/>
    </xf>
    <xf numFmtId="0" fontId="48" fillId="5" borderId="16" xfId="74" applyFont="1" applyFill="1" applyBorder="1" applyAlignment="1">
      <alignment horizontal="center" vertical="center" wrapText="1"/>
    </xf>
    <xf numFmtId="0" fontId="48" fillId="5" borderId="48" xfId="74" applyFont="1" applyFill="1" applyBorder="1" applyAlignment="1">
      <alignment horizontal="center" vertical="center" wrapText="1"/>
    </xf>
    <xf numFmtId="176" fontId="46" fillId="5" borderId="48" xfId="74" applyNumberFormat="1" applyFont="1" applyFill="1" applyBorder="1" applyAlignment="1">
      <alignment horizontal="center" vertical="center" wrapText="1"/>
    </xf>
    <xf numFmtId="0" fontId="0" fillId="5" borderId="13" xfId="0" applyFill="1" applyBorder="1" applyAlignment="1">
      <alignment vertical="center"/>
    </xf>
    <xf numFmtId="0" fontId="7" fillId="5" borderId="18" xfId="0" applyFont="1" applyFill="1" applyBorder="1" applyAlignment="1" applyProtection="1">
      <alignment horizontal="left" vertical="center" wrapText="1"/>
      <protection locked="0" hidden="1"/>
    </xf>
    <xf numFmtId="0" fontId="8" fillId="0" borderId="0" xfId="0" applyFont="1" applyAlignment="1">
      <alignment vertical="center"/>
    </xf>
    <xf numFmtId="0" fontId="8" fillId="0" borderId="0" xfId="0" applyFont="1" applyAlignment="1">
      <alignment vertical="center" wrapText="1"/>
    </xf>
    <xf numFmtId="0" fontId="0" fillId="5" borderId="35" xfId="0" applyFill="1" applyBorder="1" applyAlignment="1">
      <alignment vertical="center"/>
    </xf>
    <xf numFmtId="0" fontId="0" fillId="0" borderId="51" xfId="0" applyBorder="1" applyAlignment="1">
      <alignment vertical="center"/>
    </xf>
    <xf numFmtId="0" fontId="22" fillId="0" borderId="30" xfId="0" applyFont="1" applyFill="1" applyBorder="1" applyAlignment="1" applyProtection="1">
      <alignment horizontal="center" vertical="center"/>
      <protection locked="0" hidden="1"/>
    </xf>
    <xf numFmtId="0" fontId="7" fillId="5" borderId="0" xfId="0" applyFont="1" applyFill="1" applyAlignment="1">
      <alignment horizontal="left"/>
    </xf>
    <xf numFmtId="0" fontId="7" fillId="5" borderId="0" xfId="0" applyFont="1" applyFill="1" applyAlignment="1">
      <alignment horizontal="center" vertical="center" wrapText="1"/>
    </xf>
    <xf numFmtId="176" fontId="7" fillId="5" borderId="0" xfId="0" applyNumberFormat="1" applyFont="1" applyFill="1" applyAlignment="1">
      <alignment horizontal="center" vertical="center" wrapText="1"/>
    </xf>
    <xf numFmtId="0" fontId="0" fillId="5" borderId="0" xfId="0" applyFill="1" applyAlignment="1">
      <alignment horizontal="center" vertical="center"/>
    </xf>
    <xf numFmtId="176" fontId="0" fillId="5" borderId="0" xfId="0" applyNumberFormat="1" applyFill="1" applyAlignment="1">
      <alignment horizontal="center" vertical="center"/>
    </xf>
    <xf numFmtId="0" fontId="47" fillId="0" borderId="0" xfId="0" applyFont="1" applyAlignment="1">
      <alignment vertical="top"/>
    </xf>
    <xf numFmtId="0" fontId="0" fillId="0" borderId="0" xfId="0" applyAlignment="1">
      <alignment horizontal="left"/>
    </xf>
    <xf numFmtId="0" fontId="46" fillId="0" borderId="0" xfId="0" applyFont="1" applyAlignment="1" applyProtection="1">
      <alignment horizontal="right" wrapText="1"/>
      <protection locked="0" hidden="1"/>
    </xf>
    <xf numFmtId="0" fontId="16" fillId="0" borderId="46" xfId="0" applyFont="1" applyBorder="1" applyAlignment="1" applyProtection="1">
      <alignment horizontal="center" vertical="center" wrapText="1"/>
      <protection locked="0" hidden="1"/>
    </xf>
    <xf numFmtId="0" fontId="7" fillId="0" borderId="52" xfId="0" applyFont="1" applyBorder="1" applyAlignment="1" applyProtection="1">
      <alignment horizontal="center" vertical="center"/>
      <protection locked="0" hidden="1"/>
    </xf>
    <xf numFmtId="9" fontId="17" fillId="5" borderId="0" xfId="0" applyNumberFormat="1" applyFont="1" applyFill="1" applyAlignment="1" applyProtection="1">
      <alignment horizontal="left" vertical="center" wrapText="1"/>
      <protection locked="0" hidden="1"/>
    </xf>
    <xf numFmtId="0" fontId="71" fillId="0" borderId="16" xfId="0" applyFont="1" applyFill="1" applyBorder="1" applyAlignment="1" applyProtection="1">
      <alignment vertical="center"/>
      <protection locked="0"/>
    </xf>
    <xf numFmtId="0" fontId="17" fillId="5" borderId="9" xfId="0" applyFont="1" applyFill="1" applyBorder="1" applyAlignment="1">
      <alignment vertical="center" wrapText="1"/>
    </xf>
    <xf numFmtId="0" fontId="16" fillId="5" borderId="32" xfId="0" applyFont="1" applyFill="1" applyBorder="1" applyAlignment="1">
      <alignment wrapText="1"/>
    </xf>
    <xf numFmtId="0" fontId="37" fillId="5" borderId="0" xfId="0" applyFont="1" applyFill="1" applyBorder="1" applyAlignment="1" applyProtection="1">
      <alignment vertical="center" wrapText="1"/>
    </xf>
    <xf numFmtId="0" fontId="79" fillId="0" borderId="30" xfId="0" applyFont="1" applyBorder="1" applyAlignment="1" applyProtection="1">
      <alignment vertical="center" wrapText="1"/>
      <protection locked="0" hidden="1"/>
    </xf>
    <xf numFmtId="0" fontId="0" fillId="5" borderId="40" xfId="0" applyFill="1" applyBorder="1" applyAlignment="1" applyProtection="1">
      <alignment wrapText="1"/>
      <protection locked="0" hidden="1"/>
    </xf>
    <xf numFmtId="0" fontId="42" fillId="5" borderId="41" xfId="0" applyFont="1" applyFill="1" applyBorder="1" applyAlignment="1" applyProtection="1">
      <alignment horizontal="center" vertical="center" wrapText="1"/>
      <protection locked="0" hidden="1"/>
    </xf>
    <xf numFmtId="0" fontId="42" fillId="0" borderId="42" xfId="0" applyFont="1" applyBorder="1" applyAlignment="1" applyProtection="1">
      <alignment horizontal="center" vertical="center" wrapText="1"/>
      <protection locked="0" hidden="1"/>
    </xf>
    <xf numFmtId="0" fontId="16" fillId="5" borderId="0" xfId="0" applyFont="1" applyFill="1" applyAlignment="1" applyProtection="1">
      <alignment horizontal="center" vertical="center" wrapText="1"/>
      <protection locked="0" hidden="1"/>
    </xf>
    <xf numFmtId="0" fontId="71" fillId="0" borderId="16" xfId="0" applyFont="1" applyFill="1" applyBorder="1" applyProtection="1">
      <protection locked="0"/>
    </xf>
    <xf numFmtId="0" fontId="0" fillId="5" borderId="44"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hidden="1"/>
    </xf>
    <xf numFmtId="0" fontId="0" fillId="5" borderId="64"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5" borderId="64" xfId="0" applyFill="1" applyBorder="1" applyAlignment="1" applyProtection="1">
      <alignment horizontal="left" vertical="center" wrapText="1"/>
      <protection locked="0"/>
    </xf>
    <xf numFmtId="0" fontId="0" fillId="0" borderId="65" xfId="0" applyBorder="1" applyAlignment="1" applyProtection="1">
      <alignment wrapText="1"/>
      <protection locked="0"/>
    </xf>
    <xf numFmtId="0" fontId="0" fillId="5" borderId="62" xfId="0"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hidden="1"/>
    </xf>
    <xf numFmtId="0" fontId="0" fillId="5" borderId="66" xfId="0" applyFill="1" applyBorder="1" applyAlignment="1" applyProtection="1">
      <alignment horizontal="left" vertical="center" wrapText="1"/>
      <protection locked="0" hidden="1"/>
    </xf>
    <xf numFmtId="0" fontId="0" fillId="5" borderId="67" xfId="0" applyFill="1" applyBorder="1" applyAlignment="1" applyProtection="1">
      <alignment horizontal="left" vertical="center" wrapText="1"/>
      <protection locked="0" hidden="1"/>
    </xf>
    <xf numFmtId="0" fontId="0" fillId="0" borderId="62" xfId="0" applyBorder="1" applyAlignment="1" applyProtection="1">
      <alignment wrapText="1"/>
      <protection locked="0"/>
    </xf>
    <xf numFmtId="0" fontId="0" fillId="5" borderId="67" xfId="0" applyFill="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hidden="1"/>
    </xf>
    <xf numFmtId="0" fontId="8" fillId="40" borderId="30" xfId="0" applyFont="1" applyFill="1" applyBorder="1" applyAlignment="1" applyProtection="1">
      <alignment wrapText="1"/>
      <protection locked="0" hidden="1"/>
    </xf>
    <xf numFmtId="0" fontId="86" fillId="0" borderId="30" xfId="0" applyFont="1" applyBorder="1" applyAlignment="1" applyProtection="1">
      <alignment vertical="center" wrapText="1"/>
      <protection locked="0" hidden="1"/>
    </xf>
    <xf numFmtId="0" fontId="87" fillId="0" borderId="16" xfId="0" applyFont="1" applyFill="1" applyBorder="1" applyAlignment="1" applyProtection="1">
      <alignment vertical="center" wrapText="1"/>
      <protection locked="0" hidden="1"/>
    </xf>
    <xf numFmtId="0" fontId="47" fillId="7" borderId="16" xfId="0" applyFont="1" applyFill="1" applyBorder="1" applyAlignment="1">
      <alignment vertical="center" wrapText="1"/>
    </xf>
    <xf numFmtId="0" fontId="20" fillId="5" borderId="25" xfId="0" applyFont="1" applyFill="1" applyBorder="1" applyAlignment="1" applyProtection="1">
      <alignment horizontal="right" vertical="center" wrapText="1"/>
      <protection locked="0" hidden="1"/>
    </xf>
    <xf numFmtId="0" fontId="16" fillId="5" borderId="0" xfId="0" applyFont="1" applyFill="1" applyAlignment="1">
      <alignment horizontal="right" vertical="center"/>
    </xf>
    <xf numFmtId="0" fontId="25" fillId="0" borderId="49" xfId="74" applyFont="1" applyBorder="1" applyAlignment="1">
      <alignment horizontal="center" vertical="top" wrapText="1"/>
    </xf>
    <xf numFmtId="0" fontId="25" fillId="0" borderId="50" xfId="74" applyFont="1" applyBorder="1" applyAlignment="1">
      <alignment vertical="top" wrapText="1"/>
    </xf>
    <xf numFmtId="176" fontId="25" fillId="0" borderId="50" xfId="74" applyNumberFormat="1" applyFont="1" applyBorder="1" applyAlignment="1">
      <alignment horizontal="center" vertical="top" wrapText="1"/>
    </xf>
    <xf numFmtId="0" fontId="89" fillId="0" borderId="50" xfId="74" applyFont="1" applyBorder="1" applyAlignment="1">
      <alignment horizontal="left" vertical="top" wrapText="1"/>
    </xf>
    <xf numFmtId="0" fontId="71" fillId="0" borderId="0" xfId="0" applyFont="1" applyFill="1" applyBorder="1" applyAlignment="1" applyProtection="1">
      <alignment vertical="center"/>
      <protection locked="0"/>
    </xf>
    <xf numFmtId="0" fontId="7" fillId="40" borderId="30" xfId="0" applyFont="1" applyFill="1" applyBorder="1" applyAlignment="1" applyProtection="1">
      <alignment vertical="center" wrapText="1"/>
      <protection locked="0" hidden="1"/>
    </xf>
    <xf numFmtId="0" fontId="71" fillId="0" borderId="16" xfId="0" applyFont="1" applyFill="1" applyBorder="1" applyAlignment="1" applyProtection="1">
      <alignment vertical="center"/>
      <protection locked="0"/>
    </xf>
    <xf numFmtId="0" fontId="17" fillId="5" borderId="32" xfId="0" applyFont="1" applyFill="1" applyBorder="1" applyAlignment="1">
      <alignment vertical="center"/>
    </xf>
    <xf numFmtId="0" fontId="17" fillId="5" borderId="24" xfId="0" applyFont="1" applyFill="1" applyBorder="1" applyAlignment="1">
      <alignment horizontal="center" vertical="center"/>
    </xf>
    <xf numFmtId="0" fontId="17" fillId="5" borderId="24" xfId="0" applyFont="1" applyFill="1" applyBorder="1" applyAlignment="1">
      <alignment horizontal="left" vertical="center"/>
    </xf>
    <xf numFmtId="0" fontId="17" fillId="0" borderId="0" xfId="0" applyFont="1" applyAlignment="1">
      <alignment vertical="center"/>
    </xf>
    <xf numFmtId="0" fontId="47" fillId="0" borderId="30" xfId="0" applyFont="1" applyBorder="1" applyAlignment="1" applyProtection="1">
      <alignment vertical="top" wrapText="1"/>
      <protection locked="0" hidden="1"/>
    </xf>
    <xf numFmtId="0" fontId="0" fillId="0" borderId="48"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hidden="1"/>
    </xf>
    <xf numFmtId="0" fontId="0" fillId="5" borderId="69" xfId="0" applyFill="1" applyBorder="1" applyAlignment="1" applyProtection="1">
      <alignment horizontal="left" vertical="center" wrapText="1"/>
      <protection locked="0" hidden="1"/>
    </xf>
    <xf numFmtId="0" fontId="0" fillId="5" borderId="70" xfId="0" applyFill="1" applyBorder="1" applyAlignment="1" applyProtection="1">
      <alignment horizontal="left" vertical="center" wrapText="1"/>
      <protection locked="0" hidden="1"/>
    </xf>
    <xf numFmtId="0" fontId="0" fillId="5" borderId="7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hidden="1"/>
    </xf>
    <xf numFmtId="0" fontId="0" fillId="0" borderId="71" xfId="0" applyBorder="1" applyAlignment="1" applyProtection="1">
      <alignment wrapText="1"/>
      <protection locked="0"/>
    </xf>
    <xf numFmtId="0" fontId="73" fillId="0" borderId="0" xfId="0" applyFont="1" applyAlignment="1">
      <alignment vertical="top" wrapText="1"/>
    </xf>
    <xf numFmtId="0" fontId="45" fillId="0" borderId="0" xfId="0" applyFont="1" applyAlignment="1">
      <alignment vertical="top" wrapText="1"/>
    </xf>
    <xf numFmtId="0" fontId="83" fillId="0" borderId="0" xfId="0" applyFont="1" applyAlignment="1">
      <alignment vertical="top" wrapText="1"/>
    </xf>
    <xf numFmtId="0" fontId="95" fillId="0" borderId="0" xfId="0" applyFont="1" applyAlignment="1">
      <alignment vertical="top" wrapText="1"/>
    </xf>
    <xf numFmtId="0" fontId="81" fillId="0" borderId="0" xfId="0" applyFont="1" applyAlignment="1">
      <alignment vertical="top" wrapText="1"/>
    </xf>
    <xf numFmtId="0" fontId="45" fillId="0" borderId="0" xfId="10" applyFont="1" applyAlignment="1">
      <alignment horizontal="left" vertical="top" wrapText="1"/>
    </xf>
    <xf numFmtId="0" fontId="88" fillId="0" borderId="0" xfId="0" applyFont="1" applyAlignment="1">
      <alignment vertical="top" wrapText="1"/>
    </xf>
    <xf numFmtId="0" fontId="90" fillId="0" borderId="0" xfId="0" applyFont="1" applyAlignment="1">
      <alignment vertical="top" wrapText="1"/>
    </xf>
    <xf numFmtId="0" fontId="91" fillId="0" borderId="0" xfId="10" applyFont="1" applyAlignment="1">
      <alignment horizontal="left" vertical="top" wrapText="1"/>
    </xf>
    <xf numFmtId="0" fontId="82" fillId="0" borderId="0" xfId="0" applyFont="1" applyAlignment="1">
      <alignment vertical="top" wrapText="1"/>
    </xf>
    <xf numFmtId="0" fontId="88" fillId="7" borderId="0" xfId="0" applyFont="1" applyFill="1" applyAlignment="1">
      <alignment vertical="top" wrapText="1"/>
    </xf>
    <xf numFmtId="0" fontId="47" fillId="0" borderId="30" xfId="0" applyFont="1" applyBorder="1" applyAlignment="1" applyProtection="1">
      <alignment vertical="center" wrapText="1"/>
      <protection locked="0" hidden="1"/>
    </xf>
    <xf numFmtId="0" fontId="69" fillId="0" borderId="72" xfId="0" applyFont="1" applyBorder="1" applyAlignment="1">
      <alignment vertical="top" wrapText="1"/>
    </xf>
    <xf numFmtId="0" fontId="69" fillId="0" borderId="72" xfId="0" applyFont="1" applyBorder="1" applyAlignment="1">
      <alignment horizontal="left" vertical="top" wrapText="1"/>
    </xf>
    <xf numFmtId="0" fontId="91" fillId="0" borderId="0" xfId="0" applyFont="1" applyAlignment="1">
      <alignment vertical="top" wrapText="1"/>
    </xf>
    <xf numFmtId="0" fontId="100" fillId="0" borderId="0" xfId="0" applyFont="1" applyAlignment="1">
      <alignment vertical="top" wrapText="1"/>
    </xf>
    <xf numFmtId="0" fontId="99" fillId="0" borderId="0" xfId="0" applyFont="1" applyAlignment="1">
      <alignment vertical="top" wrapText="1"/>
    </xf>
    <xf numFmtId="0" fontId="101" fillId="0" borderId="0" xfId="0" applyFont="1" applyAlignment="1">
      <alignment vertical="top" wrapText="1"/>
    </xf>
    <xf numFmtId="0" fontId="94" fillId="0" borderId="0" xfId="0" applyFont="1" applyAlignment="1">
      <alignment vertical="top" wrapText="1"/>
    </xf>
    <xf numFmtId="0" fontId="103" fillId="0" borderId="0" xfId="0" applyFont="1" applyAlignment="1">
      <alignment vertical="top" wrapText="1"/>
    </xf>
    <xf numFmtId="0" fontId="73" fillId="0" borderId="0" xfId="100" applyFont="1" applyAlignment="1">
      <alignment horizontal="left" vertical="top" wrapText="1"/>
    </xf>
    <xf numFmtId="0" fontId="106" fillId="0" borderId="0" xfId="0" applyFont="1" applyAlignment="1">
      <alignment vertical="top" wrapText="1"/>
    </xf>
    <xf numFmtId="0" fontId="92" fillId="0" borderId="0" xfId="0" applyFont="1" applyAlignment="1">
      <alignment vertical="top" wrapText="1"/>
    </xf>
    <xf numFmtId="9" fontId="47" fillId="0" borderId="0" xfId="0" applyNumberFormat="1" applyFont="1" applyAlignment="1">
      <alignment horizontal="left" vertical="center" wrapText="1"/>
    </xf>
    <xf numFmtId="0" fontId="45" fillId="0" borderId="0" xfId="0" applyFont="1" applyAlignment="1">
      <alignment horizontal="left" vertical="center" wrapText="1"/>
    </xf>
    <xf numFmtId="0" fontId="47" fillId="0" borderId="0" xfId="0" applyFont="1" applyAlignment="1">
      <alignment horizontal="justify" vertical="center"/>
    </xf>
    <xf numFmtId="0" fontId="73" fillId="0" borderId="0" xfId="100" applyFont="1" applyAlignment="1">
      <alignment horizontal="justify" vertical="top"/>
    </xf>
    <xf numFmtId="0" fontId="47" fillId="0" borderId="0" xfId="0" applyFont="1" applyAlignment="1">
      <alignment horizontal="justify" vertical="center" wrapText="1"/>
    </xf>
    <xf numFmtId="0" fontId="47" fillId="0" borderId="0" xfId="0" applyFont="1" applyAlignment="1">
      <alignment horizontal="left" vertical="center" wrapText="1"/>
    </xf>
    <xf numFmtId="0" fontId="73" fillId="0" borderId="0" xfId="0" applyFont="1" applyAlignment="1">
      <alignment horizontal="left" vertical="center" wrapText="1"/>
    </xf>
    <xf numFmtId="0" fontId="69" fillId="0" borderId="72" xfId="0" applyFont="1" applyBorder="1" applyAlignment="1">
      <alignment horizontal="left" vertical="center" wrapText="1"/>
    </xf>
    <xf numFmtId="0" fontId="69" fillId="0" borderId="73" xfId="0" applyFont="1" applyBorder="1" applyAlignment="1">
      <alignment horizontal="left" vertical="center" wrapText="1"/>
    </xf>
    <xf numFmtId="0" fontId="84" fillId="0" borderId="0" xfId="0" applyFont="1" applyAlignment="1">
      <alignment horizontal="left" vertical="center" wrapText="1"/>
    </xf>
    <xf numFmtId="0" fontId="73" fillId="0" borderId="0" xfId="0" applyFont="1"/>
    <xf numFmtId="0" fontId="69" fillId="0" borderId="0" xfId="247" applyFont="1" applyAlignment="1">
      <alignment horizontal="left" vertical="top" wrapText="1"/>
    </xf>
    <xf numFmtId="0" fontId="69" fillId="0" borderId="0" xfId="247" applyFont="1" applyAlignment="1">
      <alignment vertical="center" wrapText="1"/>
    </xf>
    <xf numFmtId="0" fontId="44" fillId="0" borderId="0" xfId="247" applyFont="1" applyAlignment="1">
      <alignment vertical="center" wrapText="1"/>
    </xf>
    <xf numFmtId="0" fontId="97" fillId="0" borderId="0" xfId="0" applyFont="1" applyAlignment="1">
      <alignment vertical="top" wrapText="1"/>
    </xf>
    <xf numFmtId="0" fontId="91" fillId="41" borderId="0" xfId="0" applyFont="1" applyFill="1" applyAlignment="1">
      <alignment vertical="top" wrapText="1"/>
    </xf>
    <xf numFmtId="0" fontId="73" fillId="0" borderId="0" xfId="0" applyFont="1" applyAlignment="1">
      <alignment vertical="top"/>
    </xf>
    <xf numFmtId="0" fontId="73" fillId="0" borderId="16" xfId="0" applyFont="1" applyBorder="1" applyAlignment="1">
      <alignment vertical="center" wrapText="1"/>
    </xf>
    <xf numFmtId="0" fontId="45" fillId="0" borderId="0" xfId="0" applyFont="1"/>
    <xf numFmtId="0" fontId="45" fillId="0" borderId="0" xfId="0" applyFont="1" applyAlignment="1">
      <alignment vertical="top"/>
    </xf>
    <xf numFmtId="0" fontId="73" fillId="0" borderId="0" xfId="0" applyFont="1" applyAlignment="1" applyProtection="1">
      <alignment wrapText="1"/>
      <protection locked="0" hidden="1"/>
    </xf>
    <xf numFmtId="0" fontId="45" fillId="0" borderId="0" xfId="0" applyFont="1" applyAlignment="1">
      <alignment wrapText="1"/>
    </xf>
    <xf numFmtId="0" fontId="47" fillId="0" borderId="0" xfId="0" quotePrefix="1" applyFont="1" applyAlignment="1" applyProtection="1">
      <alignment wrapText="1"/>
      <protection locked="0" hidden="1"/>
    </xf>
    <xf numFmtId="0" fontId="45" fillId="0" borderId="0" xfId="247" applyFont="1" applyAlignment="1">
      <alignment horizontal="left" vertical="top" wrapText="1"/>
    </xf>
    <xf numFmtId="0" fontId="45" fillId="0" borderId="0" xfId="247" applyFont="1" applyAlignment="1">
      <alignment vertical="top" wrapText="1"/>
    </xf>
    <xf numFmtId="0" fontId="91" fillId="0" borderId="0" xfId="247" applyFont="1" applyAlignment="1">
      <alignment horizontal="left" vertical="top" wrapText="1"/>
    </xf>
    <xf numFmtId="0" fontId="73" fillId="0" borderId="0" xfId="247" applyFont="1" applyAlignment="1">
      <alignment horizontal="left" vertical="top" wrapText="1"/>
    </xf>
    <xf numFmtId="0" fontId="45" fillId="0" borderId="0" xfId="247" applyFont="1" applyAlignment="1">
      <alignment horizontal="justify" vertical="top"/>
    </xf>
    <xf numFmtId="0" fontId="73" fillId="0" borderId="0" xfId="247" applyFont="1" applyAlignment="1">
      <alignment vertical="center" wrapText="1"/>
    </xf>
    <xf numFmtId="0" fontId="47" fillId="7" borderId="0" xfId="0" applyFont="1" applyFill="1" applyAlignment="1">
      <alignment horizontal="left" vertical="top" wrapText="1"/>
    </xf>
    <xf numFmtId="0" fontId="47" fillId="7" borderId="0" xfId="0" applyFont="1" applyFill="1" applyAlignment="1">
      <alignment vertical="top" wrapText="1"/>
    </xf>
    <xf numFmtId="0" fontId="47" fillId="7" borderId="0" xfId="0" applyFont="1" applyFill="1" applyAlignment="1">
      <alignment horizontal="left" vertical="top"/>
    </xf>
    <xf numFmtId="0" fontId="8" fillId="7" borderId="0" xfId="0" applyFont="1" applyFill="1" applyAlignment="1">
      <alignment horizontal="left" vertical="top" wrapText="1"/>
    </xf>
    <xf numFmtId="0" fontId="88" fillId="7" borderId="0" xfId="0" applyFont="1" applyFill="1" applyAlignment="1">
      <alignment horizontal="left" vertical="top" wrapText="1"/>
    </xf>
    <xf numFmtId="0" fontId="8" fillId="7" borderId="0" xfId="6" applyFont="1" applyFill="1" applyAlignment="1">
      <alignment horizontal="left" vertical="top" wrapText="1"/>
    </xf>
    <xf numFmtId="0" fontId="0" fillId="7" borderId="0" xfId="0" applyFill="1" applyAlignment="1">
      <alignment horizontal="left" vertical="top" wrapText="1"/>
    </xf>
    <xf numFmtId="0" fontId="14" fillId="5" borderId="64" xfId="0" applyFont="1" applyFill="1" applyBorder="1" applyAlignment="1">
      <alignment vertical="center" wrapText="1"/>
    </xf>
    <xf numFmtId="0" fontId="13" fillId="5" borderId="63" xfId="0" applyFont="1" applyFill="1" applyBorder="1" applyAlignment="1" applyProtection="1">
      <alignment vertical="center" wrapText="1"/>
      <protection locked="0" hidden="1"/>
    </xf>
    <xf numFmtId="0" fontId="0" fillId="0" borderId="0" xfId="0" applyAlignment="1">
      <alignment horizontal="left" vertical="center"/>
    </xf>
    <xf numFmtId="0" fontId="0" fillId="0" borderId="0" xfId="0" applyProtection="1">
      <protection locked="0"/>
    </xf>
    <xf numFmtId="178" fontId="25" fillId="0" borderId="49" xfId="74" applyNumberFormat="1" applyFont="1" applyBorder="1" applyAlignment="1">
      <alignment horizontal="center" vertical="top" wrapText="1"/>
    </xf>
    <xf numFmtId="0" fontId="25" fillId="5" borderId="16" xfId="74" applyFont="1" applyFill="1" applyBorder="1" applyAlignment="1">
      <alignment vertical="top" wrapText="1"/>
    </xf>
    <xf numFmtId="0" fontId="109" fillId="0" borderId="0" xfId="0" applyFont="1" applyAlignment="1">
      <alignment wrapText="1"/>
    </xf>
    <xf numFmtId="0" fontId="47" fillId="0" borderId="0" xfId="0" applyFont="1" applyAlignment="1">
      <alignment wrapText="1"/>
    </xf>
    <xf numFmtId="0" fontId="95" fillId="0" borderId="0" xfId="6" applyFont="1" applyAlignment="1">
      <alignment horizontal="left" vertical="top" wrapText="1"/>
    </xf>
    <xf numFmtId="9" fontId="47" fillId="0" borderId="0" xfId="0" applyNumberFormat="1" applyFont="1" applyAlignment="1">
      <alignment horizontal="left" vertical="top"/>
    </xf>
    <xf numFmtId="0" fontId="111" fillId="0" borderId="0" xfId="0" applyFont="1" applyAlignment="1">
      <alignment vertical="top" wrapText="1"/>
    </xf>
    <xf numFmtId="0" fontId="47" fillId="0" borderId="0" xfId="0" applyFont="1" applyAlignment="1" applyProtection="1">
      <alignment vertical="top" wrapText="1"/>
      <protection locked="0" hidden="1"/>
    </xf>
    <xf numFmtId="49" fontId="0" fillId="0" borderId="16" xfId="0" applyNumberFormat="1" applyBorder="1" applyAlignment="1" applyProtection="1">
      <alignment vertical="center"/>
      <protection locked="0"/>
    </xf>
    <xf numFmtId="0" fontId="0" fillId="0" borderId="44"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5" borderId="63" xfId="0" applyFill="1" applyBorder="1" applyAlignment="1" applyProtection="1">
      <alignment horizontal="left" vertical="center" wrapText="1"/>
      <protection locked="0" hidden="1"/>
    </xf>
    <xf numFmtId="0" fontId="0" fillId="5" borderId="64" xfId="0" applyFill="1" applyBorder="1" applyAlignment="1" applyProtection="1">
      <alignment horizontal="left" vertical="center" wrapText="1"/>
      <protection locked="0" hidden="1"/>
    </xf>
    <xf numFmtId="0" fontId="0" fillId="0" borderId="16" xfId="0" applyBorder="1" applyAlignment="1" applyProtection="1">
      <alignment wrapText="1"/>
      <protection locked="0"/>
    </xf>
    <xf numFmtId="0" fontId="0" fillId="5" borderId="64" xfId="0" applyFill="1" applyBorder="1" applyAlignment="1" applyProtection="1">
      <alignment horizontal="left" vertical="center" wrapText="1"/>
      <protection locked="0"/>
    </xf>
    <xf numFmtId="0" fontId="0" fillId="0" borderId="45" xfId="0" applyBorder="1" applyAlignment="1" applyProtection="1">
      <alignment wrapText="1"/>
      <protection locked="0"/>
    </xf>
    <xf numFmtId="0" fontId="0" fillId="0" borderId="16" xfId="0" applyBorder="1" applyAlignment="1" applyProtection="1">
      <alignment vertical="center" wrapText="1"/>
      <protection locked="0"/>
    </xf>
    <xf numFmtId="1" fontId="0" fillId="5" borderId="63" xfId="0" applyNumberFormat="1" applyFill="1" applyBorder="1" applyAlignment="1" applyProtection="1">
      <alignment horizontal="left" vertical="center" wrapText="1"/>
      <protection locked="0" hidden="1"/>
    </xf>
    <xf numFmtId="0" fontId="0" fillId="5" borderId="16" xfId="0" applyFill="1" applyBorder="1" applyAlignment="1" applyProtection="1">
      <alignment horizontal="left" vertical="center" wrapText="1"/>
      <protection locked="0"/>
    </xf>
    <xf numFmtId="0" fontId="14" fillId="5" borderId="13"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25" fillId="0" borderId="51" xfId="0" applyFont="1" applyBorder="1" applyAlignment="1">
      <alignment horizontal="center"/>
    </xf>
    <xf numFmtId="0" fontId="11" fillId="5" borderId="0" xfId="0" applyFont="1" applyFill="1" applyAlignment="1">
      <alignment horizontal="center" vertical="center"/>
    </xf>
    <xf numFmtId="0" fontId="25" fillId="5" borderId="0" xfId="0" applyFont="1" applyFill="1" applyAlignment="1">
      <alignment horizontal="left" vertical="center" wrapText="1"/>
    </xf>
    <xf numFmtId="0" fontId="25" fillId="5" borderId="53" xfId="0" applyFont="1" applyFill="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24" xfId="0" applyFill="1" applyBorder="1" applyAlignment="1" applyProtection="1">
      <alignment horizontal="center" vertical="center"/>
      <protection locked="0" hidden="1"/>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17" fillId="5" borderId="54" xfId="0" applyFont="1" applyFill="1" applyBorder="1" applyAlignment="1" applyProtection="1">
      <alignment horizontal="left" vertical="center"/>
      <protection locked="0"/>
    </xf>
    <xf numFmtId="0" fontId="17" fillId="5" borderId="31" xfId="0" applyFont="1" applyFill="1" applyBorder="1" applyAlignment="1" applyProtection="1">
      <alignment horizontal="left" vertical="center"/>
      <protection locked="0"/>
    </xf>
    <xf numFmtId="0" fontId="13" fillId="5" borderId="54"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9" fillId="5" borderId="35" xfId="0" applyFont="1" applyFill="1" applyBorder="1" applyAlignment="1" applyProtection="1">
      <alignment horizontal="center" vertical="center"/>
      <protection locked="0" hidden="1"/>
    </xf>
    <xf numFmtId="0" fontId="19" fillId="5" borderId="51" xfId="0" applyFont="1" applyFill="1" applyBorder="1" applyAlignment="1" applyProtection="1">
      <alignment horizontal="center" vertical="center"/>
      <protection locked="0" hidden="1"/>
    </xf>
    <xf numFmtId="0" fontId="24" fillId="0" borderId="0" xfId="0" applyFont="1" applyFill="1" applyBorder="1" applyAlignment="1" applyProtection="1">
      <alignment horizontal="center" vertical="center" wrapText="1"/>
      <protection locked="0" hidden="1"/>
    </xf>
    <xf numFmtId="0" fontId="17" fillId="0" borderId="0" xfId="0" applyFont="1" applyAlignment="1" applyProtection="1">
      <alignment horizontal="left" vertical="center"/>
      <protection locked="0"/>
    </xf>
    <xf numFmtId="0" fontId="17" fillId="5" borderId="54" xfId="0" applyFont="1" applyFill="1" applyBorder="1" applyAlignment="1">
      <alignment horizontal="left" vertical="center"/>
    </xf>
    <xf numFmtId="0" fontId="17" fillId="5" borderId="31" xfId="0" applyFont="1" applyFill="1" applyBorder="1" applyAlignment="1">
      <alignment horizontal="left" vertical="center"/>
    </xf>
    <xf numFmtId="0" fontId="11" fillId="5" borderId="23" xfId="0" applyFont="1" applyFill="1" applyBorder="1" applyAlignment="1" applyProtection="1">
      <alignment horizontal="center" wrapText="1"/>
      <protection locked="0" hidden="1"/>
    </xf>
    <xf numFmtId="0" fontId="17" fillId="5" borderId="54"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5" borderId="9" xfId="0" applyFont="1" applyFill="1" applyBorder="1" applyAlignment="1">
      <alignment horizontal="center" vertical="center"/>
    </xf>
    <xf numFmtId="0" fontId="13" fillId="5" borderId="9" xfId="0" applyFont="1" applyFill="1" applyBorder="1" applyAlignment="1">
      <alignment horizontal="left" vertical="center" wrapText="1"/>
    </xf>
    <xf numFmtId="0" fontId="112" fillId="5" borderId="54" xfId="248" applyFill="1" applyBorder="1" applyAlignment="1" applyProtection="1">
      <alignment horizontal="left" vertical="center" wrapText="1"/>
      <protection locked="0"/>
    </xf>
    <xf numFmtId="0" fontId="70" fillId="5" borderId="9" xfId="0" applyFont="1" applyFill="1" applyBorder="1" applyAlignment="1" applyProtection="1">
      <alignment horizontal="left" vertical="center" wrapText="1"/>
      <protection locked="0"/>
    </xf>
    <xf numFmtId="0" fontId="70" fillId="5" borderId="31" xfId="0" applyFont="1" applyFill="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7" fillId="0" borderId="5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6" fillId="5" borderId="9" xfId="0" applyFont="1" applyFill="1" applyBorder="1" applyAlignment="1" applyProtection="1">
      <alignment horizontal="left" wrapText="1"/>
      <protection locked="0" hidden="1"/>
    </xf>
    <xf numFmtId="0" fontId="23" fillId="0" borderId="23" xfId="0" applyFont="1" applyFill="1" applyBorder="1" applyAlignment="1" applyProtection="1">
      <alignment horizontal="center"/>
      <protection locked="0" hidden="1"/>
    </xf>
    <xf numFmtId="0" fontId="16" fillId="5" borderId="23" xfId="0" applyFont="1" applyFill="1" applyBorder="1" applyAlignment="1" applyProtection="1">
      <alignment horizontal="left" wrapText="1"/>
      <protection locked="0" hidden="1"/>
    </xf>
    <xf numFmtId="49" fontId="17" fillId="5" borderId="54" xfId="0" applyNumberFormat="1" applyFont="1" applyFill="1" applyBorder="1" applyAlignment="1" applyProtection="1">
      <alignment horizontal="left" vertical="center" wrapText="1"/>
      <protection locked="0"/>
    </xf>
    <xf numFmtId="49" fontId="17" fillId="5" borderId="9" xfId="0" applyNumberFormat="1" applyFont="1" applyFill="1" applyBorder="1" applyAlignment="1" applyProtection="1">
      <alignment horizontal="left" vertical="center" wrapText="1"/>
      <protection locked="0"/>
    </xf>
    <xf numFmtId="49" fontId="17" fillId="5" borderId="31" xfId="0" applyNumberFormat="1" applyFont="1" applyFill="1" applyBorder="1" applyAlignment="1" applyProtection="1">
      <alignment horizontal="left" vertical="center" wrapText="1"/>
      <protection locked="0"/>
    </xf>
    <xf numFmtId="0" fontId="19" fillId="5" borderId="0" xfId="0" applyFont="1" applyFill="1" applyAlignment="1">
      <alignment horizontal="center" wrapText="1"/>
    </xf>
    <xf numFmtId="49" fontId="72" fillId="5" borderId="54" xfId="0" applyNumberFormat="1" applyFont="1" applyFill="1" applyBorder="1" applyAlignment="1" applyProtection="1">
      <alignment horizontal="left" vertical="center" wrapText="1"/>
      <protection locked="0"/>
    </xf>
    <xf numFmtId="49" fontId="72" fillId="5" borderId="9" xfId="0" applyNumberFormat="1" applyFont="1" applyFill="1" applyBorder="1" applyAlignment="1" applyProtection="1">
      <alignment horizontal="left" vertical="center" wrapText="1"/>
      <protection locked="0"/>
    </xf>
    <xf numFmtId="49" fontId="72" fillId="5" borderId="31" xfId="0" applyNumberFormat="1" applyFont="1" applyFill="1" applyBorder="1" applyAlignment="1" applyProtection="1">
      <alignment horizontal="left" vertical="center" wrapText="1"/>
      <protection locked="0"/>
    </xf>
    <xf numFmtId="0" fontId="17" fillId="5" borderId="55" xfId="0" applyFont="1" applyFill="1" applyBorder="1" applyAlignment="1">
      <alignment horizontal="left" vertical="center"/>
    </xf>
    <xf numFmtId="0" fontId="17" fillId="5" borderId="63" xfId="0" applyFont="1" applyFill="1" applyBorder="1" applyAlignment="1">
      <alignment horizontal="left" vertical="center"/>
    </xf>
    <xf numFmtId="177" fontId="16" fillId="5" borderId="29" xfId="0" applyNumberFormat="1" applyFont="1" applyFill="1" applyBorder="1" applyAlignment="1" applyProtection="1">
      <alignment horizontal="center" wrapText="1"/>
      <protection locked="0"/>
    </xf>
    <xf numFmtId="177" fontId="16" fillId="5" borderId="56" xfId="0" applyNumberFormat="1" applyFont="1" applyFill="1" applyBorder="1" applyAlignment="1" applyProtection="1">
      <alignment horizontal="center" wrapText="1"/>
      <protection locked="0"/>
    </xf>
    <xf numFmtId="9" fontId="17" fillId="5" borderId="54" xfId="0" applyNumberFormat="1" applyFont="1" applyFill="1" applyBorder="1" applyAlignment="1">
      <alignment horizontal="left" vertical="center"/>
    </xf>
    <xf numFmtId="9" fontId="17" fillId="5" borderId="31" xfId="0" applyNumberFormat="1" applyFont="1" applyFill="1" applyBorder="1" applyAlignment="1">
      <alignment horizontal="left" vertical="center"/>
    </xf>
    <xf numFmtId="0" fontId="21" fillId="0" borderId="23" xfId="0" applyFont="1" applyFill="1" applyBorder="1" applyAlignment="1" applyProtection="1">
      <alignment horizontal="center" wrapText="1"/>
      <protection locked="0" hidden="1"/>
    </xf>
    <xf numFmtId="0" fontId="0" fillId="5" borderId="10" xfId="0" applyFill="1" applyBorder="1" applyAlignment="1">
      <alignment horizontal="center" vertical="top" wrapText="1"/>
    </xf>
    <xf numFmtId="0" fontId="0" fillId="5" borderId="11" xfId="0" applyFill="1" applyBorder="1" applyAlignment="1">
      <alignment horizontal="center" vertical="top" wrapText="1"/>
    </xf>
    <xf numFmtId="0" fontId="0" fillId="5" borderId="12" xfId="0" applyFill="1" applyBorder="1" applyAlignment="1">
      <alignment horizontal="center" vertical="top" wrapText="1"/>
    </xf>
    <xf numFmtId="0" fontId="15" fillId="5" borderId="54" xfId="0" applyFont="1" applyFill="1" applyBorder="1" applyAlignment="1" applyProtection="1">
      <alignment horizontal="center" vertical="center" wrapText="1"/>
      <protection locked="0" hidden="1"/>
    </xf>
    <xf numFmtId="0" fontId="15" fillId="5" borderId="9" xfId="0" applyFont="1" applyFill="1" applyBorder="1" applyAlignment="1" applyProtection="1">
      <alignment horizontal="center" vertical="center" wrapText="1"/>
      <protection locked="0" hidden="1"/>
    </xf>
    <xf numFmtId="0" fontId="15" fillId="5" borderId="31" xfId="0" applyFont="1" applyFill="1" applyBorder="1" applyAlignment="1" applyProtection="1">
      <alignment horizontal="center" vertical="center" wrapText="1"/>
      <protection locked="0" hidden="1"/>
    </xf>
    <xf numFmtId="49" fontId="17" fillId="5" borderId="29" xfId="0" applyNumberFormat="1" applyFont="1" applyFill="1" applyBorder="1" applyAlignment="1" applyProtection="1">
      <alignment horizontal="left" vertical="center" wrapText="1"/>
      <protection locked="0"/>
    </xf>
    <xf numFmtId="49" fontId="17" fillId="5" borderId="23" xfId="0" applyNumberFormat="1" applyFont="1" applyFill="1" applyBorder="1" applyAlignment="1" applyProtection="1">
      <alignment horizontal="left" vertical="center" wrapText="1"/>
      <protection locked="0"/>
    </xf>
    <xf numFmtId="49" fontId="17" fillId="5" borderId="56" xfId="0" applyNumberFormat="1" applyFont="1" applyFill="1" applyBorder="1" applyAlignment="1" applyProtection="1">
      <alignment horizontal="left" vertical="center" wrapText="1"/>
      <protection locked="0"/>
    </xf>
    <xf numFmtId="0" fontId="16" fillId="5" borderId="0" xfId="0" applyFont="1" applyFill="1" applyAlignment="1" applyProtection="1">
      <alignment horizontal="center" vertical="center" wrapText="1"/>
      <protection locked="0" hidden="1"/>
    </xf>
    <xf numFmtId="0" fontId="17" fillId="5" borderId="57"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left" vertical="center" wrapText="1"/>
      <protection locked="0"/>
    </xf>
    <xf numFmtId="0" fontId="17" fillId="5" borderId="59"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center"/>
      <protection locked="0"/>
    </xf>
    <xf numFmtId="0" fontId="16" fillId="5" borderId="23" xfId="0" applyFont="1" applyFill="1" applyBorder="1" applyAlignment="1" applyProtection="1">
      <alignment horizontal="center" vertical="top" wrapText="1"/>
      <protection locked="0" hidden="1"/>
    </xf>
    <xf numFmtId="0" fontId="16" fillId="5" borderId="64" xfId="0" applyFont="1" applyFill="1" applyBorder="1" applyAlignment="1" applyProtection="1">
      <alignment horizontal="right" vertical="center"/>
      <protection locked="0" hidden="1"/>
    </xf>
    <xf numFmtId="0" fontId="16" fillId="5" borderId="25" xfId="0" applyFont="1" applyFill="1" applyBorder="1" applyAlignment="1" applyProtection="1">
      <alignment horizontal="right" vertical="center"/>
      <protection locked="0" hidden="1"/>
    </xf>
    <xf numFmtId="0" fontId="71" fillId="0" borderId="29" xfId="0" applyFont="1" applyFill="1" applyBorder="1" applyAlignment="1" applyProtection="1">
      <alignment horizontal="left" vertical="center" wrapText="1"/>
    </xf>
    <xf numFmtId="0" fontId="71" fillId="0" borderId="23" xfId="0" applyFont="1" applyFill="1" applyBorder="1" applyAlignment="1" applyProtection="1">
      <alignment horizontal="left" vertical="center" wrapText="1"/>
    </xf>
    <xf numFmtId="0" fontId="71" fillId="0" borderId="56" xfId="0" applyFont="1" applyFill="1" applyBorder="1" applyAlignment="1" applyProtection="1">
      <alignment horizontal="left" vertical="center" wrapText="1"/>
    </xf>
    <xf numFmtId="0" fontId="16" fillId="5" borderId="23" xfId="0" applyFont="1" applyFill="1" applyBorder="1" applyAlignment="1" applyProtection="1">
      <alignment horizontal="center" wrapText="1"/>
      <protection locked="0" hidden="1"/>
    </xf>
    <xf numFmtId="0" fontId="75" fillId="5" borderId="55" xfId="0" applyFont="1" applyFill="1" applyBorder="1" applyAlignment="1">
      <alignment horizontal="center" vertical="center" wrapText="1"/>
    </xf>
    <xf numFmtId="0" fontId="75" fillId="5" borderId="24" xfId="0" applyFont="1" applyFill="1" applyBorder="1" applyAlignment="1">
      <alignment horizontal="center" vertical="center" wrapText="1"/>
    </xf>
    <xf numFmtId="9" fontId="17" fillId="5" borderId="54" xfId="0" applyNumberFormat="1" applyFont="1" applyFill="1" applyBorder="1" applyAlignment="1" applyProtection="1">
      <alignment horizontal="left" vertical="center"/>
      <protection locked="0"/>
    </xf>
    <xf numFmtId="9" fontId="17" fillId="5" borderId="31" xfId="0" applyNumberFormat="1" applyFont="1" applyFill="1" applyBorder="1" applyAlignment="1" applyProtection="1">
      <alignment horizontal="left" vertical="center"/>
      <protection locked="0"/>
    </xf>
    <xf numFmtId="49" fontId="71" fillId="5" borderId="54" xfId="0" applyNumberFormat="1" applyFont="1" applyFill="1" applyBorder="1" applyAlignment="1" applyProtection="1">
      <alignment horizontal="center" vertical="center" wrapText="1"/>
      <protection locked="0"/>
    </xf>
    <xf numFmtId="49" fontId="71" fillId="5" borderId="9" xfId="0" applyNumberFormat="1" applyFont="1" applyFill="1" applyBorder="1" applyAlignment="1" applyProtection="1">
      <alignment horizontal="center" vertical="center" wrapText="1"/>
      <protection locked="0"/>
    </xf>
    <xf numFmtId="49" fontId="71" fillId="5" borderId="31" xfId="0" applyNumberFormat="1" applyFont="1" applyFill="1" applyBorder="1" applyAlignment="1" applyProtection="1">
      <alignment horizontal="center" vertical="center" wrapText="1"/>
      <protection locked="0"/>
    </xf>
    <xf numFmtId="0" fontId="43" fillId="5" borderId="32"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14" fillId="0" borderId="53" xfId="0" applyFont="1" applyBorder="1" applyAlignment="1" applyProtection="1">
      <alignment horizontal="left" vertical="top" wrapText="1"/>
      <protection locked="0" hidden="1"/>
    </xf>
    <xf numFmtId="0" fontId="13" fillId="5" borderId="23" xfId="0" applyFont="1" applyFill="1" applyBorder="1" applyAlignment="1" applyProtection="1">
      <alignment horizontal="center" wrapText="1"/>
      <protection locked="0" hidden="1"/>
    </xf>
    <xf numFmtId="0" fontId="13" fillId="5" borderId="56" xfId="0" applyFont="1" applyFill="1" applyBorder="1" applyAlignment="1" applyProtection="1">
      <alignment horizontal="center" wrapText="1"/>
      <protection locked="0" hidden="1"/>
    </xf>
    <xf numFmtId="0" fontId="0" fillId="0" borderId="0" xfId="0" applyAlignment="1" applyProtection="1">
      <alignment horizontal="center" wrapText="1"/>
      <protection locked="0" hidden="1"/>
    </xf>
    <xf numFmtId="0" fontId="21" fillId="5" borderId="0" xfId="0" applyFont="1" applyFill="1" applyBorder="1" applyAlignment="1" applyProtection="1">
      <alignment horizontal="center" vertical="center" wrapText="1"/>
      <protection locked="0" hidden="1"/>
    </xf>
    <xf numFmtId="0" fontId="32" fillId="5" borderId="10" xfId="0" applyFont="1" applyFill="1" applyBorder="1" applyAlignment="1" applyProtection="1">
      <alignment horizontal="center" vertical="center" wrapText="1"/>
      <protection locked="0" hidden="1"/>
    </xf>
    <xf numFmtId="0" fontId="0" fillId="0" borderId="11" xfId="0" applyBorder="1" applyAlignment="1">
      <alignment horizontal="center" vertical="center" wrapText="1"/>
    </xf>
    <xf numFmtId="0" fontId="9" fillId="5" borderId="60" xfId="0" applyFont="1" applyFill="1" applyBorder="1" applyAlignment="1" applyProtection="1">
      <alignment horizontal="center" wrapText="1"/>
      <protection locked="0" hidden="1"/>
    </xf>
    <xf numFmtId="0" fontId="0" fillId="0" borderId="0" xfId="0" applyAlignment="1" applyProtection="1">
      <alignment horizontal="left" vertical="top" wrapText="1"/>
      <protection locked="0" hidden="1"/>
    </xf>
    <xf numFmtId="0" fontId="0" fillId="0" borderId="0" xfId="0" applyAlignment="1">
      <alignment horizontal="center" vertical="center"/>
    </xf>
  </cellXfs>
  <cellStyles count="249">
    <cellStyle name="20% - 輔色1" xfId="149" builtinId="30" customBuiltin="1"/>
    <cellStyle name="20% - 輔色2" xfId="153" builtinId="34" customBuiltin="1"/>
    <cellStyle name="20% - 輔色3" xfId="157" builtinId="38" customBuiltin="1"/>
    <cellStyle name="20% - 輔色4" xfId="161" builtinId="42" customBuiltin="1"/>
    <cellStyle name="20% - 輔色5" xfId="165" builtinId="46" customBuiltin="1"/>
    <cellStyle name="20% - 輔色6" xfId="169" builtinId="50" customBuiltin="1"/>
    <cellStyle name="40% - 輔色1" xfId="150" builtinId="31" customBuiltin="1"/>
    <cellStyle name="40% - 輔色2" xfId="154" builtinId="35" customBuiltin="1"/>
    <cellStyle name="40% - 輔色3" xfId="158" builtinId="39" customBuiltin="1"/>
    <cellStyle name="40% - 輔色4" xfId="162" builtinId="43" customBuiltin="1"/>
    <cellStyle name="40% - 輔色5" xfId="166" builtinId="47" customBuiltin="1"/>
    <cellStyle name="40% - 輔色6" xfId="170" builtinId="51" customBuiltin="1"/>
    <cellStyle name="60% - 輔色1" xfId="151" builtinId="32" customBuiltin="1"/>
    <cellStyle name="60% - 輔色2" xfId="155" builtinId="36" customBuiltin="1"/>
    <cellStyle name="60% - 輔色3" xfId="159" builtinId="40" customBuiltin="1"/>
    <cellStyle name="60% - 輔色4" xfId="163" builtinId="44" customBuiltin="1"/>
    <cellStyle name="60% - 輔色5" xfId="167" builtinId="48" customBuiltin="1"/>
    <cellStyle name="60% - 輔色6" xfId="171" builtinId="52" customBuiltin="1"/>
    <cellStyle name="一般" xfId="0" builtinId="0"/>
    <cellStyle name="一般 10" xfId="10" xr:uid="{00000000-0005-0000-0000-00002D000000}"/>
    <cellStyle name="一般 100" xfId="229" xr:uid="{00000000-0005-0000-0000-000087000000}"/>
    <cellStyle name="一般 101" xfId="194" xr:uid="{00000000-0005-0000-0000-000088000000}"/>
    <cellStyle name="一般 102" xfId="113" xr:uid="{00000000-0005-0000-0000-000089000000}"/>
    <cellStyle name="一般 103" xfId="226" xr:uid="{00000000-0005-0000-0000-00008A000000}"/>
    <cellStyle name="一般 104" xfId="191" xr:uid="{00000000-0005-0000-0000-00008B000000}"/>
    <cellStyle name="一般 105" xfId="40" xr:uid="{00000000-0005-0000-0000-00008C000000}"/>
    <cellStyle name="一般 106" xfId="41" xr:uid="{00000000-0005-0000-0000-00008D000000}"/>
    <cellStyle name="一般 107" xfId="117" xr:uid="{00000000-0005-0000-0000-00008E000000}"/>
    <cellStyle name="一般 108" xfId="230" xr:uid="{00000000-0005-0000-0000-00008F000000}"/>
    <cellStyle name="一般 109" xfId="195" xr:uid="{00000000-0005-0000-0000-000090000000}"/>
    <cellStyle name="一般 11" xfId="100" xr:uid="{00000000-0005-0000-0000-00002E000000}"/>
    <cellStyle name="一般 110" xfId="42" xr:uid="{00000000-0005-0000-0000-000091000000}"/>
    <cellStyle name="一般 111" xfId="43" xr:uid="{00000000-0005-0000-0000-000092000000}"/>
    <cellStyle name="一般 112" xfId="118" xr:uid="{00000000-0005-0000-0000-000093000000}"/>
    <cellStyle name="一般 113" xfId="231" xr:uid="{00000000-0005-0000-0000-000094000000}"/>
    <cellStyle name="一般 114" xfId="196" xr:uid="{00000000-0005-0000-0000-000095000000}"/>
    <cellStyle name="一般 115" xfId="44" xr:uid="{00000000-0005-0000-0000-000096000000}"/>
    <cellStyle name="一般 116" xfId="45" xr:uid="{00000000-0005-0000-0000-000097000000}"/>
    <cellStyle name="一般 117" xfId="46" xr:uid="{00000000-0005-0000-0000-000098000000}"/>
    <cellStyle name="一般 118" xfId="47" xr:uid="{00000000-0005-0000-0000-000099000000}"/>
    <cellStyle name="一般 119" xfId="48" xr:uid="{00000000-0005-0000-0000-00009A000000}"/>
    <cellStyle name="一般 12" xfId="213" xr:uid="{00000000-0005-0000-0000-00002F000000}"/>
    <cellStyle name="一般 120" xfId="49" xr:uid="{00000000-0005-0000-0000-00009B000000}"/>
    <cellStyle name="一般 121" xfId="50" xr:uid="{00000000-0005-0000-0000-00009C000000}"/>
    <cellStyle name="一般 122" xfId="51" xr:uid="{00000000-0005-0000-0000-00009D000000}"/>
    <cellStyle name="一般 123" xfId="52" xr:uid="{00000000-0005-0000-0000-00009E000000}"/>
    <cellStyle name="一般 124" xfId="53" xr:uid="{00000000-0005-0000-0000-00009F000000}"/>
    <cellStyle name="一般 125" xfId="54" xr:uid="{00000000-0005-0000-0000-0000A0000000}"/>
    <cellStyle name="一般 126" xfId="119" xr:uid="{00000000-0005-0000-0000-0000A1000000}"/>
    <cellStyle name="一般 127" xfId="232" xr:uid="{00000000-0005-0000-0000-0000A2000000}"/>
    <cellStyle name="一般 128" xfId="197" xr:uid="{00000000-0005-0000-0000-0000A3000000}"/>
    <cellStyle name="一般 129" xfId="55" xr:uid="{00000000-0005-0000-0000-0000A4000000}"/>
    <cellStyle name="一般 13" xfId="178" xr:uid="{00000000-0005-0000-0000-000030000000}"/>
    <cellStyle name="一般 130" xfId="56" xr:uid="{00000000-0005-0000-0000-0000A5000000}"/>
    <cellStyle name="一般 131" xfId="57" xr:uid="{00000000-0005-0000-0000-0000A6000000}"/>
    <cellStyle name="一般 132" xfId="58" xr:uid="{00000000-0005-0000-0000-0000A7000000}"/>
    <cellStyle name="一般 133" xfId="59" xr:uid="{00000000-0005-0000-0000-0000A8000000}"/>
    <cellStyle name="一般 134" xfId="60" xr:uid="{00000000-0005-0000-0000-0000A9000000}"/>
    <cellStyle name="一般 135" xfId="61" xr:uid="{00000000-0005-0000-0000-0000AA000000}"/>
    <cellStyle name="一般 136" xfId="62" xr:uid="{00000000-0005-0000-0000-0000AB000000}"/>
    <cellStyle name="一般 137" xfId="63" xr:uid="{00000000-0005-0000-0000-0000AC000000}"/>
    <cellStyle name="一般 138" xfId="64" xr:uid="{00000000-0005-0000-0000-0000AD000000}"/>
    <cellStyle name="一般 139" xfId="65" xr:uid="{00000000-0005-0000-0000-0000AE000000}"/>
    <cellStyle name="一般 14" xfId="11" xr:uid="{00000000-0005-0000-0000-000031000000}"/>
    <cellStyle name="一般 140" xfId="66" xr:uid="{00000000-0005-0000-0000-0000AF000000}"/>
    <cellStyle name="一般 141" xfId="67" xr:uid="{00000000-0005-0000-0000-0000B0000000}"/>
    <cellStyle name="一般 142" xfId="68" xr:uid="{00000000-0005-0000-0000-0000B1000000}"/>
    <cellStyle name="一般 143" xfId="69" xr:uid="{00000000-0005-0000-0000-0000B2000000}"/>
    <cellStyle name="一般 144" xfId="121" xr:uid="{00000000-0005-0000-0000-0000B3000000}"/>
    <cellStyle name="一般 145" xfId="234" xr:uid="{00000000-0005-0000-0000-0000B4000000}"/>
    <cellStyle name="一般 146" xfId="199" xr:uid="{00000000-0005-0000-0000-0000B5000000}"/>
    <cellStyle name="一般 147" xfId="70" xr:uid="{00000000-0005-0000-0000-0000B6000000}"/>
    <cellStyle name="一般 148" xfId="120" xr:uid="{00000000-0005-0000-0000-0000B7000000}"/>
    <cellStyle name="一般 149" xfId="233" xr:uid="{00000000-0005-0000-0000-0000B8000000}"/>
    <cellStyle name="一般 15" xfId="101" xr:uid="{00000000-0005-0000-0000-000032000000}"/>
    <cellStyle name="一般 150" xfId="198" xr:uid="{00000000-0005-0000-0000-0000B9000000}"/>
    <cellStyle name="一般 151" xfId="71" xr:uid="{00000000-0005-0000-0000-0000BA000000}"/>
    <cellStyle name="一般 152" xfId="72" xr:uid="{00000000-0005-0000-0000-0000BB000000}"/>
    <cellStyle name="一般 153" xfId="73" xr:uid="{00000000-0005-0000-0000-0000BC000000}"/>
    <cellStyle name="一般 154" xfId="172" xr:uid="{00000000-0005-0000-0000-0000BD000000}"/>
    <cellStyle name="一般 155" xfId="244" xr:uid="{00000000-0005-0000-0000-0000BE000000}"/>
    <cellStyle name="一般 156" xfId="74" xr:uid="{00000000-0005-0000-0000-0000BF000000}"/>
    <cellStyle name="一般 157" xfId="75" xr:uid="{00000000-0005-0000-0000-0000C0000000}"/>
    <cellStyle name="一般 158" xfId="122" xr:uid="{00000000-0005-0000-0000-0000C1000000}"/>
    <cellStyle name="一般 159" xfId="235" xr:uid="{00000000-0005-0000-0000-0000C2000000}"/>
    <cellStyle name="一般 16" xfId="214" xr:uid="{00000000-0005-0000-0000-000033000000}"/>
    <cellStyle name="一般 160" xfId="200" xr:uid="{00000000-0005-0000-0000-0000C3000000}"/>
    <cellStyle name="一般 161" xfId="173" xr:uid="{00000000-0005-0000-0000-0000C4000000}"/>
    <cellStyle name="一般 162" xfId="245" xr:uid="{00000000-0005-0000-0000-0000C5000000}"/>
    <cellStyle name="一般 163" xfId="76" xr:uid="{00000000-0005-0000-0000-0000C7000000}"/>
    <cellStyle name="一般 164" xfId="123" xr:uid="{00000000-0005-0000-0000-0000C8000000}"/>
    <cellStyle name="一般 165" xfId="1" xr:uid="{00000000-0005-0000-0000-0000C9000000}"/>
    <cellStyle name="一般 166" xfId="77" xr:uid="{00000000-0005-0000-0000-0000CA000000}"/>
    <cellStyle name="一般 167" xfId="78" xr:uid="{00000000-0005-0000-0000-0000CB000000}"/>
    <cellStyle name="一般 168" xfId="79" xr:uid="{00000000-0005-0000-0000-0000CC000000}"/>
    <cellStyle name="一般 169" xfId="80" xr:uid="{00000000-0005-0000-0000-0000CD000000}"/>
    <cellStyle name="一般 17" xfId="179" xr:uid="{00000000-0005-0000-0000-000034000000}"/>
    <cellStyle name="一般 170" xfId="81" xr:uid="{00000000-0005-0000-0000-0000CE000000}"/>
    <cellStyle name="一般 171" xfId="82" xr:uid="{00000000-0005-0000-0000-0000CF000000}"/>
    <cellStyle name="一般 172" xfId="127" xr:uid="{00000000-0005-0000-0000-0000D0000000}"/>
    <cellStyle name="一般 173" xfId="239" xr:uid="{00000000-0005-0000-0000-0000D1000000}"/>
    <cellStyle name="一般 174" xfId="204" xr:uid="{00000000-0005-0000-0000-0000D2000000}"/>
    <cellStyle name="一般 175" xfId="126" xr:uid="{00000000-0005-0000-0000-0000D3000000}"/>
    <cellStyle name="一般 176" xfId="238" xr:uid="{00000000-0005-0000-0000-0000D4000000}"/>
    <cellStyle name="一般 177" xfId="203" xr:uid="{00000000-0005-0000-0000-0000D5000000}"/>
    <cellStyle name="一般 178" xfId="83" xr:uid="{00000000-0005-0000-0000-0000D6000000}"/>
    <cellStyle name="一般 179" xfId="128" xr:uid="{00000000-0005-0000-0000-0000D7000000}"/>
    <cellStyle name="一般 18" xfId="99" xr:uid="{00000000-0005-0000-0000-000035000000}"/>
    <cellStyle name="一般 180" xfId="240" xr:uid="{00000000-0005-0000-0000-0000D8000000}"/>
    <cellStyle name="一般 181" xfId="205" xr:uid="{00000000-0005-0000-0000-0000D9000000}"/>
    <cellStyle name="一般 182" xfId="125" xr:uid="{00000000-0005-0000-0000-0000DA000000}"/>
    <cellStyle name="一般 183" xfId="237" xr:uid="{00000000-0005-0000-0000-0000DB000000}"/>
    <cellStyle name="一般 184" xfId="202" xr:uid="{00000000-0005-0000-0000-0000DC000000}"/>
    <cellStyle name="一般 185" xfId="84" xr:uid="{00000000-0005-0000-0000-0000DD000000}"/>
    <cellStyle name="一般 186" xfId="85" xr:uid="{00000000-0005-0000-0000-0000DE000000}"/>
    <cellStyle name="一般 187" xfId="130" xr:uid="{00000000-0005-0000-0000-0000DF000000}"/>
    <cellStyle name="一般 188" xfId="242" xr:uid="{00000000-0005-0000-0000-0000E0000000}"/>
    <cellStyle name="一般 189" xfId="207" xr:uid="{00000000-0005-0000-0000-0000E1000000}"/>
    <cellStyle name="一般 19" xfId="212" xr:uid="{00000000-0005-0000-0000-000036000000}"/>
    <cellStyle name="一般 190" xfId="129" xr:uid="{00000000-0005-0000-0000-0000E2000000}"/>
    <cellStyle name="一般 191" xfId="241" xr:uid="{00000000-0005-0000-0000-0000E3000000}"/>
    <cellStyle name="一般 192" xfId="206" xr:uid="{00000000-0005-0000-0000-0000E4000000}"/>
    <cellStyle name="一般 193" xfId="86" xr:uid="{00000000-0005-0000-0000-0000E5000000}"/>
    <cellStyle name="一般 194" xfId="131" xr:uid="{00000000-0005-0000-0000-0000E6000000}"/>
    <cellStyle name="一般 195" xfId="243" xr:uid="{00000000-0005-0000-0000-0000E7000000}"/>
    <cellStyle name="一般 196" xfId="208" xr:uid="{00000000-0005-0000-0000-0000E8000000}"/>
    <cellStyle name="一般 197" xfId="124" xr:uid="{00000000-0005-0000-0000-0000E9000000}"/>
    <cellStyle name="一般 198" xfId="236" xr:uid="{00000000-0005-0000-0000-0000EA000000}"/>
    <cellStyle name="一般 199" xfId="201" xr:uid="{00000000-0005-0000-0000-0000EB000000}"/>
    <cellStyle name="一般 2" xfId="2" xr:uid="{00000000-0005-0000-0000-000025000000}"/>
    <cellStyle name="一般 20" xfId="177" xr:uid="{00000000-0005-0000-0000-000037000000}"/>
    <cellStyle name="一般 200" xfId="87" xr:uid="{00000000-0005-0000-0000-0000EC000000}"/>
    <cellStyle name="一般 201" xfId="88" xr:uid="{00000000-0005-0000-0000-0000EE000000}"/>
    <cellStyle name="一般 202" xfId="89" xr:uid="{00000000-0005-0000-0000-0000F0000000}"/>
    <cellStyle name="一般 203" xfId="90" xr:uid="{00000000-0005-0000-0000-0000F2000000}"/>
    <cellStyle name="一般 204" xfId="91" xr:uid="{00000000-0005-0000-0000-0000F3000000}"/>
    <cellStyle name="一般 205" xfId="92" xr:uid="{00000000-0005-0000-0000-0000F4000000}"/>
    <cellStyle name="一般 206" xfId="93" xr:uid="{00000000-0005-0000-0000-0000F5000000}"/>
    <cellStyle name="一般 207" xfId="94" xr:uid="{00000000-0005-0000-0000-0000F6000000}"/>
    <cellStyle name="一般 208" xfId="95" xr:uid="{00000000-0005-0000-0000-0000F7000000}"/>
    <cellStyle name="一般 21" xfId="98" xr:uid="{00000000-0005-0000-0000-000038000000}"/>
    <cellStyle name="一般 22" xfId="211" xr:uid="{00000000-0005-0000-0000-000039000000}"/>
    <cellStyle name="一般 23" xfId="176" xr:uid="{00000000-0005-0000-0000-00003A000000}"/>
    <cellStyle name="一般 24" xfId="12" xr:uid="{00000000-0005-0000-0000-00003B000000}"/>
    <cellStyle name="一般 25" xfId="102" xr:uid="{00000000-0005-0000-0000-00003C000000}"/>
    <cellStyle name="一般 26" xfId="215" xr:uid="{00000000-0005-0000-0000-00003D000000}"/>
    <cellStyle name="一般 27" xfId="180" xr:uid="{00000000-0005-0000-0000-00003E000000}"/>
    <cellStyle name="一般 28" xfId="97" xr:uid="{00000000-0005-0000-0000-00003F000000}"/>
    <cellStyle name="一般 29" xfId="210" xr:uid="{00000000-0005-0000-0000-000040000000}"/>
    <cellStyle name="一般 3" xfId="3" xr:uid="{00000000-0005-0000-0000-000026000000}"/>
    <cellStyle name="一般 30" xfId="175" xr:uid="{00000000-0005-0000-0000-000041000000}"/>
    <cellStyle name="一般 31" xfId="13" xr:uid="{00000000-0005-0000-0000-000042000000}"/>
    <cellStyle name="一般 32" xfId="14" xr:uid="{00000000-0005-0000-0000-000043000000}"/>
    <cellStyle name="一般 33" xfId="104" xr:uid="{00000000-0005-0000-0000-000044000000}"/>
    <cellStyle name="一般 34" xfId="217" xr:uid="{00000000-0005-0000-0000-000045000000}"/>
    <cellStyle name="一般 35" xfId="182" xr:uid="{00000000-0005-0000-0000-000046000000}"/>
    <cellStyle name="一般 36" xfId="103" xr:uid="{00000000-0005-0000-0000-000047000000}"/>
    <cellStyle name="一般 37" xfId="216" xr:uid="{00000000-0005-0000-0000-000048000000}"/>
    <cellStyle name="一般 38" xfId="181" xr:uid="{00000000-0005-0000-0000-000049000000}"/>
    <cellStyle name="一般 39" xfId="15" xr:uid="{00000000-0005-0000-0000-00004A000000}"/>
    <cellStyle name="一般 4" xfId="4" xr:uid="{00000000-0005-0000-0000-000027000000}"/>
    <cellStyle name="一般 40" xfId="105" xr:uid="{00000000-0005-0000-0000-00004B000000}"/>
    <cellStyle name="一般 41" xfId="218" xr:uid="{00000000-0005-0000-0000-00004C000000}"/>
    <cellStyle name="一般 42" xfId="183" xr:uid="{00000000-0005-0000-0000-00004D000000}"/>
    <cellStyle name="一般 43" xfId="96" xr:uid="{00000000-0005-0000-0000-00004E000000}"/>
    <cellStyle name="一般 44" xfId="209" xr:uid="{00000000-0005-0000-0000-00004F000000}"/>
    <cellStyle name="一般 45" xfId="16" xr:uid="{00000000-0005-0000-0000-000050000000}"/>
    <cellStyle name="一般 46" xfId="106" xr:uid="{00000000-0005-0000-0000-000051000000}"/>
    <cellStyle name="一般 47" xfId="219" xr:uid="{00000000-0005-0000-0000-000052000000}"/>
    <cellStyle name="一般 48" xfId="184" xr:uid="{00000000-0005-0000-0000-000053000000}"/>
    <cellStyle name="一般 49" xfId="174" xr:uid="{00000000-0005-0000-0000-000054000000}"/>
    <cellStyle name="一般 5" xfId="5" xr:uid="{00000000-0005-0000-0000-000028000000}"/>
    <cellStyle name="一般 50" xfId="247" xr:uid="{00000000-0005-0000-0000-000055000000}"/>
    <cellStyle name="一般 51" xfId="246" xr:uid="{00000000-0005-0000-0000-000056000000}"/>
    <cellStyle name="一般 52" xfId="17" xr:uid="{00000000-0005-0000-0000-000057000000}"/>
    <cellStyle name="一般 53" xfId="18" xr:uid="{00000000-0005-0000-0000-000058000000}"/>
    <cellStyle name="一般 54" xfId="19" xr:uid="{00000000-0005-0000-0000-000059000000}"/>
    <cellStyle name="一般 55" xfId="20" xr:uid="{00000000-0005-0000-0000-00005A000000}"/>
    <cellStyle name="一般 56" xfId="21" xr:uid="{00000000-0005-0000-0000-00005B000000}"/>
    <cellStyle name="一般 57" xfId="22" xr:uid="{00000000-0005-0000-0000-00005C000000}"/>
    <cellStyle name="一般 58" xfId="23" xr:uid="{00000000-0005-0000-0000-00005D000000}"/>
    <cellStyle name="一般 59" xfId="107" xr:uid="{00000000-0005-0000-0000-00005E000000}"/>
    <cellStyle name="一般 6" xfId="6" xr:uid="{00000000-0005-0000-0000-000029000000}"/>
    <cellStyle name="一般 60" xfId="220" xr:uid="{00000000-0005-0000-0000-00005F000000}"/>
    <cellStyle name="一般 61" xfId="185" xr:uid="{00000000-0005-0000-0000-000060000000}"/>
    <cellStyle name="一般 62" xfId="24" xr:uid="{00000000-0005-0000-0000-000061000000}"/>
    <cellStyle name="一般 63" xfId="108" xr:uid="{00000000-0005-0000-0000-000062000000}"/>
    <cellStyle name="一般 64" xfId="221" xr:uid="{00000000-0005-0000-0000-000063000000}"/>
    <cellStyle name="一般 65" xfId="186" xr:uid="{00000000-0005-0000-0000-000064000000}"/>
    <cellStyle name="一般 66" xfId="25" xr:uid="{00000000-0005-0000-0000-000065000000}"/>
    <cellStyle name="一般 67" xfId="26" xr:uid="{00000000-0005-0000-0000-000066000000}"/>
    <cellStyle name="一般 68" xfId="109" xr:uid="{00000000-0005-0000-0000-000067000000}"/>
    <cellStyle name="一般 69" xfId="222" xr:uid="{00000000-0005-0000-0000-000068000000}"/>
    <cellStyle name="一般 7" xfId="7" xr:uid="{00000000-0005-0000-0000-00002A000000}"/>
    <cellStyle name="一般 70" xfId="187" xr:uid="{00000000-0005-0000-0000-000069000000}"/>
    <cellStyle name="一般 71" xfId="27" xr:uid="{00000000-0005-0000-0000-00006A000000}"/>
    <cellStyle name="一般 72" xfId="28" xr:uid="{00000000-0005-0000-0000-00006B000000}"/>
    <cellStyle name="一般 73" xfId="110" xr:uid="{00000000-0005-0000-0000-00006C000000}"/>
    <cellStyle name="一般 74" xfId="223" xr:uid="{00000000-0005-0000-0000-00006D000000}"/>
    <cellStyle name="一般 75" xfId="188" xr:uid="{00000000-0005-0000-0000-00006E000000}"/>
    <cellStyle name="一般 76" xfId="29" xr:uid="{00000000-0005-0000-0000-00006F000000}"/>
    <cellStyle name="一般 77" xfId="30" xr:uid="{00000000-0005-0000-0000-000070000000}"/>
    <cellStyle name="一般 78" xfId="31" xr:uid="{00000000-0005-0000-0000-000071000000}"/>
    <cellStyle name="一般 79" xfId="32" xr:uid="{00000000-0005-0000-0000-000072000000}"/>
    <cellStyle name="一般 8" xfId="8" xr:uid="{00000000-0005-0000-0000-00002B000000}"/>
    <cellStyle name="一般 80" xfId="33" xr:uid="{00000000-0005-0000-0000-000073000000}"/>
    <cellStyle name="一般 81" xfId="111" xr:uid="{00000000-0005-0000-0000-000074000000}"/>
    <cellStyle name="一般 82" xfId="224" xr:uid="{00000000-0005-0000-0000-000075000000}"/>
    <cellStyle name="一般 83" xfId="189" xr:uid="{00000000-0005-0000-0000-000076000000}"/>
    <cellStyle name="一般 84" xfId="34" xr:uid="{00000000-0005-0000-0000-000077000000}"/>
    <cellStyle name="一般 85" xfId="35" xr:uid="{00000000-0005-0000-0000-000078000000}"/>
    <cellStyle name="一般 86" xfId="112" xr:uid="{00000000-0005-0000-0000-000079000000}"/>
    <cellStyle name="一般 87" xfId="225" xr:uid="{00000000-0005-0000-0000-00007A000000}"/>
    <cellStyle name="一般 88" xfId="190" xr:uid="{00000000-0005-0000-0000-00007B000000}"/>
    <cellStyle name="一般 89" xfId="36" xr:uid="{00000000-0005-0000-0000-00007C000000}"/>
    <cellStyle name="一般 9" xfId="9" xr:uid="{00000000-0005-0000-0000-00002C000000}"/>
    <cellStyle name="一般 90" xfId="37" xr:uid="{00000000-0005-0000-0000-00007D000000}"/>
    <cellStyle name="一般 91" xfId="38" xr:uid="{00000000-0005-0000-0000-00007E000000}"/>
    <cellStyle name="一般 92" xfId="115" xr:uid="{00000000-0005-0000-0000-00007F000000}"/>
    <cellStyle name="一般 93" xfId="228" xr:uid="{00000000-0005-0000-0000-000080000000}"/>
    <cellStyle name="一般 94" xfId="193" xr:uid="{00000000-0005-0000-0000-000081000000}"/>
    <cellStyle name="一般 95" xfId="114" xr:uid="{00000000-0005-0000-0000-000082000000}"/>
    <cellStyle name="一般 96" xfId="227" xr:uid="{00000000-0005-0000-0000-000083000000}"/>
    <cellStyle name="一般 97" xfId="192" xr:uid="{00000000-0005-0000-0000-000084000000}"/>
    <cellStyle name="一般 98" xfId="39" xr:uid="{00000000-0005-0000-0000-000085000000}"/>
    <cellStyle name="一般 99" xfId="116" xr:uid="{00000000-0005-0000-0000-000086000000}"/>
    <cellStyle name="中等" xfId="139" builtinId="28" customBuiltin="1"/>
    <cellStyle name="合計" xfId="147" builtinId="25" customBuiltin="1"/>
    <cellStyle name="好" xfId="137" builtinId="26" customBuiltin="1"/>
    <cellStyle name="計算方式" xfId="142" builtinId="22" customBuiltin="1"/>
    <cellStyle name="連結的儲存格" xfId="143" builtinId="24" customBuiltin="1"/>
    <cellStyle name="超連結" xfId="248" builtinId="8"/>
    <cellStyle name="說明文字" xfId="146" builtinId="53" customBuiltin="1"/>
    <cellStyle name="輔色1" xfId="148" builtinId="29" customBuiltin="1"/>
    <cellStyle name="輔色2" xfId="152" builtinId="33" customBuiltin="1"/>
    <cellStyle name="輔色3" xfId="156" builtinId="37" customBuiltin="1"/>
    <cellStyle name="輔色4" xfId="160" builtinId="41" customBuiltin="1"/>
    <cellStyle name="輔色5" xfId="164" builtinId="45" customBuiltin="1"/>
    <cellStyle name="輔色6" xfId="168" builtinId="49" customBuiltin="1"/>
    <cellStyle name="標題" xfId="132" builtinId="15" customBuiltin="1"/>
    <cellStyle name="標題 1" xfId="133" builtinId="16" customBuiltin="1"/>
    <cellStyle name="標題 2" xfId="134" builtinId="17" customBuiltin="1"/>
    <cellStyle name="標題 3" xfId="135" builtinId="18" customBuiltin="1"/>
    <cellStyle name="標題 4" xfId="136" builtinId="19" customBuiltin="1"/>
    <cellStyle name="輸入" xfId="140" builtinId="20" customBuiltin="1"/>
    <cellStyle name="輸出" xfId="141" builtinId="21" customBuiltin="1"/>
    <cellStyle name="檢查儲存格" xfId="144" builtinId="23" customBuiltin="1"/>
    <cellStyle name="壞" xfId="138" builtinId="27" customBuiltin="1"/>
    <cellStyle name="警告文字" xfId="145" builtinId="11" customBuiltin="1"/>
  </cellStyles>
  <dxfs count="81">
    <dxf>
      <font>
        <color auto="1"/>
      </font>
      <fill>
        <patternFill patternType="none">
          <bgColor rgb="FF92D050"/>
        </patternFill>
      </fill>
    </dxf>
    <dxf>
      <font>
        <color auto="1"/>
      </font>
      <fill>
        <patternFill patternType="none">
          <bgColor rgb="FF92D050"/>
        </patternFill>
      </fill>
    </dxf>
    <dxf>
      <fill>
        <patternFill patternType="none">
          <bgColor rgb="FF92D050"/>
        </patternFill>
      </fill>
    </dxf>
    <dxf>
      <font>
        <color auto="1"/>
      </font>
      <fill>
        <patternFill patternType="none">
          <bgColor rgb="FF92D050"/>
        </patternFill>
      </fill>
    </dxf>
    <dxf>
      <fill>
        <patternFill patternType="none">
          <bgColor rgb="FF92D050"/>
        </patternFill>
      </fill>
    </dxf>
    <dxf>
      <font>
        <color auto="1"/>
      </font>
      <fill>
        <patternFill patternType="none">
          <bgColor rgb="FF92D050"/>
        </patternFill>
      </fill>
    </dxf>
    <dxf>
      <font>
        <color auto="1"/>
      </font>
      <fill>
        <patternFill patternType="none">
          <bgColor rgb="FF92D050"/>
        </patternFill>
      </fill>
    </dxf>
    <dxf>
      <font>
        <color auto="1"/>
      </font>
      <fill>
        <patternFill patternType="none">
          <bgColor rgb="FF92D050"/>
        </patternFill>
      </fill>
    </dxf>
    <dxf>
      <font>
        <color auto="1"/>
      </font>
      <fill>
        <patternFill patternType="none">
          <bgColor rgb="FF92D050"/>
        </patternFill>
      </fill>
    </dxf>
    <dxf>
      <font>
        <color theme="0" tint="-0.24982451857051302"/>
      </font>
      <fill>
        <patternFill patternType="none"/>
      </fill>
    </dxf>
    <dxf>
      <font>
        <color auto="1"/>
      </font>
      <fill>
        <patternFill patternType="none">
          <bgColor rgb="FF92D050"/>
        </patternFill>
      </fill>
    </dxf>
    <dxf>
      <font>
        <color theme="0" tint="-0.24982451857051302"/>
      </font>
      <fill>
        <patternFill patternType="none"/>
      </fill>
    </dxf>
    <dxf>
      <font>
        <color theme="0" tint="-0.24982451857051302"/>
      </font>
      <fill>
        <patternFill patternType="none"/>
      </fill>
    </dxf>
    <dxf>
      <font>
        <color auto="1"/>
      </font>
      <fill>
        <patternFill patternType="none">
          <bgColor rgb="FF92D050"/>
        </patternFill>
      </fill>
    </dxf>
    <dxf>
      <font>
        <color theme="0" tint="-0.24982451857051302"/>
      </font>
      <fill>
        <patternFill patternType="none"/>
      </fill>
    </dxf>
    <dxf>
      <font>
        <strike val="0"/>
        <color theme="0" tint="-0.1498458815271462"/>
      </font>
      <fill>
        <patternFill patternType="none">
          <bgColor theme="0"/>
        </patternFill>
      </fill>
    </dxf>
    <dxf>
      <font>
        <strike val="0"/>
        <color theme="0"/>
      </font>
      <fill>
        <patternFill patternType="none">
          <bgColor indexed="9"/>
        </patternFill>
      </fill>
    </dxf>
    <dxf>
      <font>
        <color theme="1"/>
      </font>
      <fill>
        <patternFill patternType="none">
          <bgColor rgb="FFFF0000"/>
        </patternFill>
      </fill>
    </dxf>
    <dxf>
      <font>
        <color theme="1"/>
      </font>
      <fill>
        <patternFill patternType="none">
          <bgColor rgb="FF92D050"/>
        </patternFill>
      </fill>
    </dxf>
    <dxf>
      <font>
        <color theme="1"/>
      </font>
      <fill>
        <patternFill patternType="none">
          <bgColor rgb="FF92D050"/>
        </patternFill>
      </fill>
    </dxf>
    <dxf>
      <fill>
        <patternFill patternType="none">
          <bgColor indexed="10"/>
        </patternFill>
      </fill>
    </dxf>
    <dxf>
      <font>
        <color auto="1"/>
      </font>
      <fill>
        <patternFill patternType="none">
          <bgColor indexed="50"/>
        </patternFill>
      </fill>
    </dxf>
    <dxf>
      <font>
        <strike val="0"/>
        <color indexed="22"/>
      </font>
      <fill>
        <patternFill patternType="none"/>
      </fill>
    </dxf>
    <dxf>
      <fill>
        <patternFill patternType="none">
          <bgColor indexed="10"/>
        </patternFill>
      </fill>
    </dxf>
    <dxf>
      <font>
        <color auto="1"/>
      </font>
      <fill>
        <patternFill patternType="none">
          <bgColor indexed="50"/>
        </patternFill>
      </fill>
    </dxf>
    <dxf>
      <font>
        <strike val="0"/>
        <color indexed="22"/>
      </font>
      <fill>
        <patternFill patternType="none"/>
      </fill>
    </dxf>
    <dxf>
      <fill>
        <patternFill patternType="none">
          <bgColor indexed="10"/>
        </patternFill>
      </fill>
    </dxf>
    <dxf>
      <font>
        <color auto="1"/>
      </font>
      <fill>
        <patternFill patternType="none">
          <bgColor indexed="50"/>
        </patternFill>
      </fill>
    </dxf>
    <dxf>
      <font>
        <strike val="0"/>
        <color theme="0"/>
      </font>
      <fill>
        <patternFill patternType="none"/>
      </fill>
    </dxf>
    <dxf>
      <fill>
        <patternFill patternType="none">
          <bgColor indexed="10"/>
        </patternFill>
      </fill>
    </dxf>
    <dxf>
      <font>
        <color auto="1"/>
      </font>
      <fill>
        <patternFill patternType="none">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patternType="none">
          <bgColor rgb="FFFF0000"/>
        </patternFill>
      </fill>
    </dxf>
    <dxf>
      <fill>
        <patternFill patternType="none">
          <bgColor indexed="13"/>
        </patternFill>
      </fill>
    </dxf>
    <dxf>
      <font>
        <color auto="1"/>
      </font>
      <fill>
        <patternFill patternType="none">
          <bgColor indexed="10"/>
        </patternFill>
      </fill>
    </dxf>
    <dxf>
      <font>
        <color auto="1"/>
      </font>
      <fill>
        <patternFill patternType="none">
          <bgColor indexed="10"/>
        </patternFill>
      </fill>
    </dxf>
    <dxf>
      <fill>
        <patternFill patternType="none">
          <bgColor indexed="13"/>
        </patternFill>
      </fill>
    </dxf>
    <dxf>
      <fill>
        <patternFill patternType="none">
          <bgColor rgb="FFFFFF00"/>
        </patternFill>
      </fill>
    </dxf>
    <dxf>
      <fill>
        <patternFill patternType="none">
          <bgColor indexed="13"/>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5F5F5F"/>
        </patternFill>
      </fill>
    </dxf>
    <dxf>
      <fill>
        <patternFill patternType="none">
          <bgColor rgb="FFFFFF00"/>
        </patternFill>
      </fill>
    </dxf>
    <dxf>
      <fill>
        <patternFill patternType="none">
          <bgColor rgb="FFFFFF00"/>
        </patternFill>
      </fill>
    </dxf>
    <dxf>
      <fill>
        <patternFill patternType="none">
          <bgColor auto="1"/>
        </patternFill>
      </fill>
    </dxf>
    <dxf>
      <fill>
        <patternFill patternType="none">
          <bgColor rgb="FFFFFF00"/>
        </patternFill>
      </fill>
    </dxf>
    <dxf>
      <fill>
        <patternFill patternType="none">
          <bgColor rgb="FFFFFF00"/>
        </patternFill>
      </fill>
    </dxf>
    <dxf>
      <fill>
        <patternFill patternType="none">
          <bgColor auto="1"/>
        </patternFill>
      </fill>
    </dxf>
    <dxf>
      <fill>
        <patternFill patternType="none">
          <bgColor rgb="FFFFFF00"/>
        </patternFill>
      </fill>
    </dxf>
    <dxf>
      <fill>
        <patternFill patternType="none">
          <bgColor theme="0"/>
        </patternFill>
      </fill>
    </dxf>
    <dxf>
      <fill>
        <patternFill patternType="none">
          <bgColor rgb="FFFFFF00"/>
        </patternFill>
      </fill>
    </dxf>
    <dxf>
      <fill>
        <patternFill patternType="none">
          <bgColor indexed="23"/>
        </patternFill>
      </fill>
    </dxf>
    <dxf>
      <fill>
        <patternFill patternType="none">
          <bgColor indexed="23"/>
        </patternFill>
      </fill>
    </dxf>
    <dxf>
      <fill>
        <patternFill patternType="none">
          <bgColor rgb="FFFFFF00"/>
        </patternFill>
      </fill>
    </dxf>
    <dxf>
      <fill>
        <patternFill patternType="none">
          <bgColor indexed="23"/>
        </patternFill>
      </fill>
    </dxf>
    <dxf>
      <fill>
        <patternFill patternType="none">
          <bgColor rgb="FFFFFF00"/>
        </patternFill>
      </fill>
    </dxf>
    <dxf>
      <fill>
        <patternFill patternType="none">
          <bgColor theme="0" tint="-0.49989318521683401"/>
        </patternFill>
      </fill>
    </dxf>
    <dxf>
      <fill>
        <patternFill patternType="none">
          <bgColor theme="0" tint="-0.49992370372631001"/>
        </patternFill>
      </fill>
    </dxf>
    <dxf>
      <fill>
        <patternFill patternType="none">
          <bgColor rgb="FFFFFF00"/>
        </patternFill>
      </fill>
    </dxf>
    <dxf>
      <fill>
        <patternFill patternType="none">
          <bgColor theme="1" tint="0.499984740745262"/>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theme="0" tint="-0.49992370372631001"/>
        </patternFill>
      </fill>
    </dxf>
    <dxf>
      <fill>
        <patternFill patternType="none">
          <bgColor theme="0" tint="-0.49992370372631001"/>
        </patternFill>
      </fill>
    </dxf>
    <dxf>
      <fill>
        <patternFill patternType="none">
          <bgColor theme="0" tint="-0.49992370372631001"/>
        </patternFill>
      </fill>
    </dxf>
    <dxf>
      <fill>
        <patternFill patternType="none">
          <bgColor theme="0" tint="-0.49992370372631001"/>
        </patternFill>
      </fill>
    </dxf>
    <dxf>
      <fill>
        <patternFill patternType="none">
          <bgColor rgb="FFFFFF00"/>
        </patternFill>
      </fill>
    </dxf>
    <dxf>
      <fill>
        <patternFill patternType="none">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3479800</xdr:colOff>
      <xdr:row>7</xdr:row>
      <xdr:rowOff>133350</xdr:rowOff>
    </xdr:to>
    <xdr:sp macro="" textlink="">
      <xdr:nvSpPr>
        <xdr:cNvPr id="9219" name="202" hidden="1">
          <a:extLst>
            <a:ext uri="{FF2B5EF4-FFF2-40B4-BE49-F238E27FC236}">
              <a16:creationId xmlns:a16="http://schemas.microsoft.com/office/drawing/2014/main" id="{671EB6AB-E4E3-457C-B703-DA704593F1F9}"/>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ac.tscprinters.com/en/responsible-mineral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05">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00000000000006"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sheet="1" formatCells="0" formatColumns="0" formatRows="0" insertColumns="0" insertRows="0" insertHyperlinks="0" deleteColumns="0" deleteRows="0" sort="0" autoFilter="0" pivotTables="0"/>
  <customSheetViews>
    <customSheetView guid="{C59130F4-2E03-5E48-94CE-6E4A0484DB9E}" scale="110" outlineSymbols="0" zeroValues="0" fitToPage="1" topLeftCell="A71">
      <selection activeCell="A77" sqref="A77"/>
    </customSheetView>
    <customSheetView guid="{81CF54B1-70AB-4A68-BB72-21925B5D4874}" outlineSymbols="0" zeroValues="0" hiddenColumns="1">
      <selection activeCell="C3" sqref="C3:G3"/>
    </customSheetView>
    <customSheetView guid="{4BDF1A28-30D5-449D-B20E-D6C97EF9FAE1}" scale="110" outlineSymbols="0" zeroValues="0" fitToPage="1">
      <selection activeCell="A77" sqref="A77"/>
    </customSheetView>
  </customSheetViews>
  <phoneticPr fontId="78" type="noConversion"/>
  <hyperlinks>
    <hyperlink ref="A74" location="Declaration!A1" display="Return to declaration tab" xr:uid="{00000000-0004-0000-0000-000000000000}"/>
  </hyperlinks>
  <printOptions gridLinesSet="0"/>
  <pageMargins left="0.70866141732283505" right="0.70866141732283505" top="0.74803149606299202" bottom="0.74803149606299202" header="0.31496062992126" footer="0.31496062992126"/>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25"/>
      <c r="B2" s="2" t="s">
        <v>1</v>
      </c>
      <c r="C2" s="3"/>
      <c r="D2" s="147"/>
      <c r="E2" s="3"/>
      <c r="F2" s="3"/>
      <c r="G2" s="25"/>
    </row>
    <row r="3" spans="1:7">
      <c r="A3" s="325"/>
      <c r="B3" s="3" t="s">
        <v>2</v>
      </c>
      <c r="C3" s="2"/>
      <c r="D3" s="148"/>
      <c r="E3" s="3"/>
      <c r="F3" s="2"/>
      <c r="G3" s="25"/>
    </row>
    <row r="4" spans="1:7" ht="15">
      <c r="A4" s="325"/>
      <c r="B4" s="184" t="s">
        <v>3</v>
      </c>
      <c r="C4" s="185"/>
      <c r="D4" s="186"/>
      <c r="E4" s="3"/>
      <c r="F4" s="185"/>
      <c r="G4" s="25"/>
    </row>
    <row r="5" spans="1:7">
      <c r="A5" s="325"/>
      <c r="B5" s="190" t="s">
        <v>4</v>
      </c>
      <c r="C5" s="187"/>
      <c r="D5" s="188"/>
      <c r="E5" s="3"/>
      <c r="F5" s="187"/>
      <c r="G5" s="25"/>
    </row>
    <row r="6" spans="1:7">
      <c r="A6" s="325"/>
      <c r="B6" s="3"/>
      <c r="C6" s="3"/>
      <c r="D6" s="147"/>
      <c r="E6" s="3"/>
      <c r="F6" s="3"/>
      <c r="G6" s="25"/>
    </row>
    <row r="7" spans="1:7">
      <c r="A7" s="325"/>
      <c r="B7" s="3"/>
      <c r="C7" s="3"/>
      <c r="D7" s="147"/>
      <c r="E7" s="3"/>
      <c r="F7" s="3"/>
      <c r="G7" s="25"/>
    </row>
    <row r="8" spans="1:7">
      <c r="A8" s="325"/>
      <c r="B8" s="3"/>
      <c r="C8" s="3"/>
      <c r="D8" s="147"/>
      <c r="E8" s="3"/>
      <c r="F8" s="3"/>
      <c r="G8" s="25"/>
    </row>
    <row r="9" spans="1:7" ht="20.149999999999999" customHeight="1">
      <c r="A9" s="325"/>
      <c r="B9" s="328" t="s">
        <v>5</v>
      </c>
      <c r="C9" s="328"/>
      <c r="D9" s="328"/>
      <c r="E9" s="328"/>
      <c r="F9" s="328"/>
      <c r="G9" s="25"/>
    </row>
    <row r="10" spans="1:7" ht="27" customHeight="1">
      <c r="A10" s="325"/>
      <c r="B10" s="329" t="s">
        <v>6</v>
      </c>
      <c r="C10" s="329"/>
      <c r="D10" s="329"/>
      <c r="E10" s="329"/>
      <c r="F10" s="329"/>
      <c r="G10" s="25"/>
    </row>
    <row r="11" spans="1:7" ht="82.5" customHeight="1">
      <c r="A11" s="325"/>
      <c r="B11" s="330"/>
      <c r="C11" s="330"/>
      <c r="D11" s="330"/>
      <c r="E11" s="330"/>
      <c r="F11" s="330"/>
      <c r="G11" s="25"/>
    </row>
    <row r="12" spans="1:7">
      <c r="A12" s="325"/>
      <c r="B12" s="174" t="s">
        <v>7</v>
      </c>
      <c r="C12" s="175" t="s">
        <v>8</v>
      </c>
      <c r="D12" s="176" t="s">
        <v>9</v>
      </c>
      <c r="E12" s="175" t="s">
        <v>10</v>
      </c>
      <c r="F12" s="175" t="s">
        <v>11</v>
      </c>
      <c r="G12" s="25"/>
    </row>
    <row r="13" spans="1:7" ht="57.5">
      <c r="A13" s="325"/>
      <c r="B13" s="306">
        <v>1</v>
      </c>
      <c r="C13" s="225" t="s">
        <v>12</v>
      </c>
      <c r="D13" s="226">
        <v>44489</v>
      </c>
      <c r="E13" s="225" t="s">
        <v>12669</v>
      </c>
      <c r="F13" s="227" t="s">
        <v>12701</v>
      </c>
      <c r="G13" s="25"/>
    </row>
    <row r="14" spans="1:7" ht="57.5">
      <c r="A14" s="325"/>
      <c r="B14" s="224">
        <v>1.01</v>
      </c>
      <c r="C14" s="225" t="s">
        <v>12</v>
      </c>
      <c r="D14" s="226">
        <v>44523</v>
      </c>
      <c r="E14" s="225" t="s">
        <v>12670</v>
      </c>
      <c r="F14" s="227" t="s">
        <v>12701</v>
      </c>
      <c r="G14" s="25"/>
    </row>
    <row r="15" spans="1:7" ht="57.5">
      <c r="A15" s="325"/>
      <c r="B15" s="224">
        <v>1.02</v>
      </c>
      <c r="C15" s="225" t="s">
        <v>12</v>
      </c>
      <c r="D15" s="226">
        <v>44553</v>
      </c>
      <c r="E15" s="225" t="s">
        <v>12671</v>
      </c>
      <c r="F15" s="227" t="s">
        <v>12701</v>
      </c>
      <c r="G15" s="25"/>
    </row>
    <row r="16" spans="1:7" ht="92">
      <c r="A16" s="325"/>
      <c r="B16" s="224">
        <v>1.1000000000000001</v>
      </c>
      <c r="C16" s="225" t="s">
        <v>12</v>
      </c>
      <c r="D16" s="226">
        <v>44848</v>
      </c>
      <c r="E16" s="225" t="s">
        <v>12695</v>
      </c>
      <c r="F16" s="227" t="s">
        <v>12702</v>
      </c>
      <c r="G16" s="25"/>
    </row>
    <row r="17" spans="1:7" ht="57.5">
      <c r="A17" s="325"/>
      <c r="B17" s="224">
        <v>1.1100000000000001</v>
      </c>
      <c r="C17" s="225" t="s">
        <v>12</v>
      </c>
      <c r="D17" s="226">
        <v>44869</v>
      </c>
      <c r="E17" s="225" t="s">
        <v>12696</v>
      </c>
      <c r="F17" s="227" t="s">
        <v>12702</v>
      </c>
      <c r="G17" s="25"/>
    </row>
    <row r="18" spans="1:7" ht="57.5">
      <c r="A18" s="325"/>
      <c r="B18" s="224">
        <v>1.2</v>
      </c>
      <c r="C18" s="225" t="s">
        <v>12</v>
      </c>
      <c r="D18" s="226">
        <v>45058</v>
      </c>
      <c r="E18" s="225" t="s">
        <v>12749</v>
      </c>
      <c r="F18" s="227" t="s">
        <v>12703</v>
      </c>
      <c r="G18" s="25"/>
    </row>
    <row r="19" spans="1:7" ht="57.5">
      <c r="A19" s="325"/>
      <c r="B19" s="224">
        <v>1.3</v>
      </c>
      <c r="C19" s="225" t="s">
        <v>12</v>
      </c>
      <c r="D19" s="226">
        <v>45408</v>
      </c>
      <c r="E19" s="307" t="s">
        <v>19199</v>
      </c>
      <c r="F19" s="227" t="s">
        <v>12750</v>
      </c>
      <c r="G19" s="25"/>
    </row>
    <row r="20" spans="1:7" ht="14" thickBot="1">
      <c r="A20" s="326"/>
      <c r="B20" s="327" t="str">
        <f ca="1">OFFSET(L!$C$1,MATCH("General"&amp;"Cpy",L!$A:$A,0)-1,SL,,)</f>
        <v>© 2024 Responsible Minerals Initiative. All rights reserved.</v>
      </c>
      <c r="C20" s="327"/>
      <c r="D20" s="327"/>
      <c r="E20" s="327"/>
      <c r="F20" s="327"/>
      <c r="G20" s="26"/>
    </row>
    <row r="21" spans="1:7" ht="14" thickTop="1"/>
  </sheetData>
  <sheetProtection sheet="1" formatCells="0" formatColumns="0" formatRows="0" insertColumns="0" insertRows="0" insertHyperlinks="0" deleteColumns="0" deleteRows="0" sort="0" autoFilter="0" pivotTables="0"/>
  <customSheetViews>
    <customSheetView guid="{C59130F4-2E03-5E48-94CE-6E4A0484DB9E}" outlineSymbols="0" zeroValues="0" fitToPage="1" topLeftCell="A2">
      <pane xSplit="1" ySplit="11" topLeftCell="B13" activePane="bottomRight" state="frozen"/>
      <selection pane="bottomRight" activeCell="H2" sqref="H2:H14"/>
    </customSheetView>
    <customSheetView guid="{81CF54B1-70AB-4A68-BB72-21925B5D4874}" outlineSymbols="0" zeroValues="0" state="hidden">
      <selection activeCell="E26" sqref="E26"/>
    </customSheetView>
    <customSheetView guid="{4BDF1A28-30D5-449D-B20E-D6C97EF9FAE1}" outlineSymbols="0" zeroValues="0" fitToPage="1" topLeftCell="A2">
      <pane xSplit="1" ySplit="11" topLeftCell="B13" activePane="bottomRight" state="frozen"/>
      <selection pane="bottomRight" activeCell="H2" sqref="H2:H14"/>
    </customSheetView>
  </customSheetViews>
  <mergeCells count="4">
    <mergeCell ref="A2:A20"/>
    <mergeCell ref="B20:F20"/>
    <mergeCell ref="B9:F9"/>
    <mergeCell ref="B10:F11"/>
  </mergeCells>
  <phoneticPr fontId="78" type="noConversion"/>
  <pageMargins left="0.70866141732283505" right="0.70866141732283505" top="0.74803149606299202" bottom="0.74803149606299202" header="0.31496062992126" footer="0.31496062992126"/>
  <pageSetup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31"/>
      <c r="B1" s="332"/>
      <c r="C1" s="332"/>
      <c r="D1" s="333"/>
    </row>
    <row r="2" spans="1:8" ht="15">
      <c r="A2" s="177"/>
      <c r="B2" s="178" t="str">
        <f ca="1">OFFSET(L!$C$1,MATCH("Definitions"&amp;ADDRESS(ROW(),COLUMN(),4),L!$A:$A,0)-1,SL,,)</f>
        <v>ITEM</v>
      </c>
      <c r="C2" s="178" t="str">
        <f ca="1">OFFSET(L!$C$1,MATCH("Definitions"&amp;ADDRESS(ROW(),COLUMN(),4),L!$A:$A,0)-1,SL,,)</f>
        <v>DEFINITION</v>
      </c>
      <c r="D2" s="335"/>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5"/>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35"/>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5"/>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5"/>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5"/>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5"/>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5"/>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5"/>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35"/>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35"/>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5"/>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35"/>
      <c r="E14" s="180"/>
    </row>
    <row r="15" spans="1:8" ht="10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5"/>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35"/>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5"/>
      <c r="E17" s="180" t="s">
        <v>16</v>
      </c>
    </row>
    <row r="18" spans="1:5" ht="13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5"/>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5"/>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5"/>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5"/>
      <c r="E21" s="180"/>
    </row>
    <row r="22" spans="1:5" ht="15">
      <c r="A22" s="177"/>
      <c r="B22" s="334" t="str">
        <f ca="1">OFFSET(L!$C$1,MATCH("General"&amp;"Cpy",L!$A:$A,0)-1,SL,,)</f>
        <v>© 2024 Responsible Minerals Initiative. All rights reserved.</v>
      </c>
      <c r="C22" s="334"/>
      <c r="D22" s="335"/>
      <c r="E22" s="180"/>
    </row>
    <row r="23" spans="1:5" ht="14" thickBot="1">
      <c r="A23" s="181"/>
      <c r="B23" s="182"/>
      <c r="C23" s="182"/>
      <c r="D23" s="336"/>
    </row>
    <row r="24" spans="1:5" ht="14" thickTop="1"/>
  </sheetData>
  <sheetProtection sheet="1" formatCells="0" formatColumns="0" formatRows="0" insertColumns="0" insertRows="0" insertHyperlinks="0" deleteColumns="0" deleteRows="0" sort="0" autoFilter="0" pivotTables="0"/>
  <customSheetViews>
    <customSheetView guid="{C59130F4-2E03-5E48-94CE-6E4A0484DB9E}" outlineSymbols="0" zeroValues="0" fitToPage="1">
      <pane ySplit="2" topLeftCell="A3" activePane="bottomLeft" state="frozen"/>
      <selection pane="bottomLeft" activeCell="B32" sqref="B32:C32"/>
    </customSheetView>
    <customSheetView guid="{81CF54B1-70AB-4A68-BB72-21925B5D4874}" outlineSymbols="0" zeroValues="0" hiddenColumns="1">
      <selection activeCell="F3" sqref="F3:J3"/>
    </customSheetView>
    <customSheetView guid="{4BDF1A28-30D5-449D-B20E-D6C97EF9FAE1}" outlineSymbols="0" zeroValues="0" fitToPage="1" hiddenRows="1">
      <pane ySplit="2" topLeftCell="A3" activePane="bottomLeft" state="frozen"/>
      <selection pane="bottomLeft" activeCell="C5" sqref="C5"/>
    </customSheetView>
  </customSheetViews>
  <mergeCells count="3">
    <mergeCell ref="A1:D1"/>
    <mergeCell ref="B22:C22"/>
    <mergeCell ref="D2:D23"/>
  </mergeCells>
  <phoneticPr fontId="78" type="noConversion"/>
  <pageMargins left="0.70866141732283505" right="0.70866141732283505" top="0.74803149606299202" bottom="0.74803149606299202" header="0.31496062992126" footer="0.31496062992126"/>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12" zoomScaleNormal="100" workbookViewId="0">
      <selection activeCell="D23" sqref="D23:E2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76"/>
      <c r="B1" s="377"/>
      <c r="C1" s="377"/>
      <c r="D1" s="377"/>
      <c r="E1" s="377"/>
      <c r="F1" s="377"/>
      <c r="G1" s="377"/>
      <c r="H1" s="377"/>
      <c r="I1" s="377"/>
      <c r="J1" s="377"/>
      <c r="K1" s="378"/>
      <c r="L1" s="103"/>
      <c r="P1" s="3"/>
      <c r="Q1" s="3"/>
      <c r="R1" s="3"/>
      <c r="S1" s="3"/>
      <c r="T1" s="3"/>
      <c r="U1" s="3"/>
      <c r="V1" s="3"/>
      <c r="W1" s="3"/>
      <c r="X1" s="3"/>
      <c r="Y1" s="3"/>
      <c r="Z1" s="3"/>
      <c r="AA1" s="3"/>
      <c r="AB1" s="3"/>
      <c r="AC1" s="3"/>
      <c r="AD1" s="3"/>
      <c r="AE1" s="3"/>
      <c r="AF1" s="3"/>
      <c r="AG1" s="3"/>
      <c r="AH1" s="3"/>
    </row>
    <row r="2" spans="1:34" ht="81.75" customHeight="1">
      <c r="A2" s="28"/>
      <c r="B2" s="302"/>
      <c r="C2" s="29"/>
      <c r="D2" s="379" t="str">
        <f ca="1">OFFSET(L!$C$1,MATCH("Declaration"&amp;ADDRESS(ROW(),COLUMN(),4),L!$A:$A,0)-1,SL,,)</f>
        <v>Extended Mineral Reporting Template (EMRT)</v>
      </c>
      <c r="E2" s="380"/>
      <c r="F2" s="380"/>
      <c r="G2" s="380"/>
      <c r="H2" s="380"/>
      <c r="I2" s="380"/>
      <c r="J2" s="38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97"/>
      <c r="F3" s="398"/>
      <c r="G3" s="398"/>
      <c r="H3" s="398"/>
      <c r="I3" s="398"/>
      <c r="J3" s="191" t="s">
        <v>12830</v>
      </c>
      <c r="K3" s="30"/>
      <c r="L3" s="103"/>
      <c r="P3" s="39">
        <f>MATCH($D$3,LN,0)</f>
        <v>1</v>
      </c>
    </row>
    <row r="4" spans="1:34" ht="15">
      <c r="A4" s="28"/>
      <c r="B4" s="385" t="str">
        <f ca="1">OFFSET(L!$C$1,MATCH("Declaration"&amp;ADDRESS(ROW(),COLUMN(),4),L!$A:$A,0)-1,SL,,)</f>
        <v>The purpose of this document is to collect sourcing information on cobalt or natural mica.</v>
      </c>
      <c r="C4" s="385"/>
      <c r="D4" s="385"/>
      <c r="E4" s="385"/>
      <c r="F4" s="385"/>
      <c r="G4" s="385"/>
      <c r="H4" s="385"/>
      <c r="I4" s="389" t="str">
        <f ca="1">OFFSET(L!$C$1,MATCH("Declaration"&amp;ADDRESS(ROW(),COLUMN(),4),L!$A:$A,0)-1,SL,,)</f>
        <v>Link to Terms &amp; Conditions</v>
      </c>
      <c r="J4" s="389"/>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85" t="str">
        <f ca="1">OFFSET(L!$C$1,MATCH("Declaration"&amp;ADDRESS(ROW(),COLUMN(),4),L!$A:$A,0)-1,SL,,)</f>
        <v>Mandatory fields are noted with an asterisk (*).  Consult the instructions tab for guidance on how to answer each question.</v>
      </c>
      <c r="C6" s="385"/>
      <c r="D6" s="385"/>
      <c r="E6" s="385"/>
      <c r="F6" s="385"/>
      <c r="G6" s="385"/>
      <c r="H6" s="385"/>
      <c r="I6" s="385"/>
      <c r="J6" s="385"/>
      <c r="K6" s="30"/>
      <c r="L6" s="105" t="s">
        <v>18</v>
      </c>
      <c r="P6" s="3"/>
      <c r="Q6" s="3"/>
      <c r="R6" s="3"/>
      <c r="S6" s="3"/>
      <c r="T6" s="3"/>
      <c r="U6" s="3"/>
      <c r="V6" s="3"/>
      <c r="W6" s="3"/>
      <c r="X6" s="3"/>
      <c r="Y6" s="3"/>
      <c r="Z6" s="3"/>
      <c r="AA6" s="3"/>
      <c r="AB6" s="3"/>
      <c r="AC6" s="3"/>
      <c r="AD6" s="3"/>
      <c r="AE6" s="3"/>
      <c r="AF6" s="3"/>
      <c r="AG6" s="3"/>
      <c r="AH6" s="3"/>
    </row>
    <row r="7" spans="1:34" ht="15">
      <c r="A7" s="28"/>
      <c r="B7" s="390" t="str">
        <f ca="1">OFFSET(L!$C$1,MATCH("Declaration"&amp;ADDRESS(ROW(),COLUMN(),4),L!$A:$A,0)-1,SL,,)</f>
        <v>Company Information</v>
      </c>
      <c r="C7" s="390"/>
      <c r="D7" s="390"/>
      <c r="E7" s="390"/>
      <c r="F7" s="390"/>
      <c r="G7" s="390"/>
      <c r="H7" s="390"/>
      <c r="I7" s="390"/>
      <c r="J7" s="390"/>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82" t="s">
        <v>19246</v>
      </c>
      <c r="E8" s="383"/>
      <c r="F8" s="383"/>
      <c r="G8" s="383"/>
      <c r="H8" s="383"/>
      <c r="I8" s="383"/>
      <c r="J8" s="384"/>
      <c r="K8" s="33"/>
      <c r="L8" s="105"/>
      <c r="P8" s="3"/>
      <c r="Q8" s="3"/>
      <c r="R8" s="3"/>
      <c r="S8" s="3"/>
      <c r="T8" s="3"/>
      <c r="U8" s="3"/>
      <c r="V8" s="3"/>
      <c r="W8" s="3"/>
      <c r="X8" s="3"/>
      <c r="Y8" s="3"/>
      <c r="Z8" s="3"/>
      <c r="AA8" s="3"/>
      <c r="AB8" s="3"/>
      <c r="AC8" s="3"/>
      <c r="AD8" s="3"/>
      <c r="AE8" s="3"/>
      <c r="AF8" s="3"/>
      <c r="AG8" s="3"/>
      <c r="AH8" s="3"/>
    </row>
    <row r="9" spans="1:34" ht="17">
      <c r="A9" s="32"/>
      <c r="B9" s="66" t="str">
        <f ca="1">OFFSET(L!$C$1,MATCH("Declaration"&amp;ADDRESS(ROW(),COLUMN(),4),L!$A:$A,0)-1,SL,,)</f>
        <v>Declaration Scope or Class (*):</v>
      </c>
      <c r="C9" s="67"/>
      <c r="D9" s="366" t="s">
        <v>19</v>
      </c>
      <c r="E9" s="367"/>
      <c r="F9" s="367"/>
      <c r="G9" s="368"/>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91" t="str">
        <f ca="1">OFFSET(L!$C$1,MATCH("Declaration"&amp;ADDRESS(ROW(),COLUMN(),4)&amp;LEFT($D$9,1),L!$A:$A,0)-1,SL,,)</f>
        <v>Description of Scope:</v>
      </c>
      <c r="C10" s="113"/>
      <c r="D10" s="386" t="s">
        <v>19202</v>
      </c>
      <c r="E10" s="387"/>
      <c r="F10" s="387"/>
      <c r="G10" s="387"/>
      <c r="H10" s="387"/>
      <c r="I10" s="387"/>
      <c r="J10" s="388"/>
      <c r="K10" s="30"/>
      <c r="L10" s="105"/>
      <c r="Q10" s="3"/>
      <c r="R10" s="3"/>
      <c r="S10" s="3"/>
      <c r="T10" s="3"/>
      <c r="U10" s="3"/>
      <c r="V10" s="3"/>
      <c r="W10" s="3"/>
      <c r="X10" s="3"/>
      <c r="Y10" s="3"/>
      <c r="Z10" s="3"/>
      <c r="AA10" s="3"/>
      <c r="AB10" s="3"/>
      <c r="AC10" s="3"/>
      <c r="AD10" s="3"/>
      <c r="AE10" s="3"/>
      <c r="AF10" s="3"/>
      <c r="AG10" s="3"/>
      <c r="AH10" s="3"/>
    </row>
    <row r="11" spans="1:34" ht="17">
      <c r="A11" s="32"/>
      <c r="B11" s="392"/>
      <c r="C11" s="113"/>
      <c r="D11" s="393" t="str">
        <f ca="1">IF(D9=Q9,OFFSET(L!$C$1,MATCH("Declaration"&amp;ADDRESS(ROW(),COLUMN(),4),L!$A:$A,0)-1,SL,,),"")</f>
        <v/>
      </c>
      <c r="E11" s="394"/>
      <c r="F11" s="394"/>
      <c r="G11" s="394"/>
      <c r="H11" s="394"/>
      <c r="I11" s="394"/>
      <c r="J11" s="395"/>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62" t="s">
        <v>19202</v>
      </c>
      <c r="E12" s="363"/>
      <c r="F12" s="363"/>
      <c r="G12" s="363"/>
      <c r="H12" s="363"/>
      <c r="I12" s="363"/>
      <c r="J12" s="364"/>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62" t="s">
        <v>19202</v>
      </c>
      <c r="E13" s="363"/>
      <c r="F13" s="363"/>
      <c r="G13" s="363"/>
      <c r="H13" s="363"/>
      <c r="I13" s="363"/>
      <c r="J13" s="364"/>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62" t="s">
        <v>19247</v>
      </c>
      <c r="E14" s="363"/>
      <c r="F14" s="363"/>
      <c r="G14" s="363"/>
      <c r="H14" s="363"/>
      <c r="I14" s="363"/>
      <c r="J14" s="364"/>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62" t="s">
        <v>19248</v>
      </c>
      <c r="E15" s="363"/>
      <c r="F15" s="363"/>
      <c r="G15" s="363"/>
      <c r="H15" s="363"/>
      <c r="I15" s="363"/>
      <c r="J15" s="364"/>
      <c r="K15" s="30"/>
      <c r="L15" s="105"/>
      <c r="Q15" s="3"/>
      <c r="R15" s="3"/>
      <c r="S15" s="3"/>
      <c r="T15" s="3"/>
      <c r="U15" s="3"/>
      <c r="V15" s="3"/>
      <c r="W15" s="3"/>
      <c r="X15" s="3"/>
      <c r="Y15" s="3"/>
      <c r="Z15" s="3"/>
      <c r="AA15" s="3"/>
      <c r="AB15" s="3"/>
      <c r="AC15" s="3"/>
      <c r="AD15" s="3"/>
      <c r="AE15" s="3"/>
      <c r="AF15" s="3"/>
      <c r="AG15" s="3"/>
      <c r="AH15" s="3"/>
    </row>
    <row r="16" spans="1:34" ht="17">
      <c r="A16" s="32"/>
      <c r="B16" s="34" t="str">
        <f ca="1">OFFSET(L!$C$1,MATCH("Declaration"&amp;ADDRESS(ROW(),COLUMN(),4),L!$A:$A,0)-1,SL,,)</f>
        <v>Email – Contact (*):</v>
      </c>
      <c r="C16" s="68"/>
      <c r="D16" s="401" t="s">
        <v>19249</v>
      </c>
      <c r="E16" s="402"/>
      <c r="F16" s="402"/>
      <c r="G16" s="402"/>
      <c r="H16" s="402"/>
      <c r="I16" s="402"/>
      <c r="J16" s="403"/>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62" t="s">
        <v>19250</v>
      </c>
      <c r="E17" s="363"/>
      <c r="F17" s="363"/>
      <c r="G17" s="363"/>
      <c r="H17" s="363"/>
      <c r="I17" s="363"/>
      <c r="J17" s="364"/>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62" t="s">
        <v>19251</v>
      </c>
      <c r="E18" s="363"/>
      <c r="F18" s="363"/>
      <c r="G18" s="363"/>
      <c r="H18" s="363"/>
      <c r="I18" s="363"/>
      <c r="J18" s="364"/>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62" t="s">
        <v>19252</v>
      </c>
      <c r="E19" s="363"/>
      <c r="F19" s="363"/>
      <c r="G19" s="363"/>
      <c r="H19" s="363"/>
      <c r="I19" s="363"/>
      <c r="J19" s="364"/>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401" t="s">
        <v>19253</v>
      </c>
      <c r="E20" s="402"/>
      <c r="F20" s="402"/>
      <c r="G20" s="402"/>
      <c r="H20" s="402"/>
      <c r="I20" s="402"/>
      <c r="J20" s="403"/>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62" t="s">
        <v>19254</v>
      </c>
      <c r="E21" s="363"/>
      <c r="F21" s="363"/>
      <c r="G21" s="363"/>
      <c r="H21" s="363"/>
      <c r="I21" s="363"/>
      <c r="J21" s="364"/>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71">
        <v>45755</v>
      </c>
      <c r="E22" s="372"/>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65"/>
      <c r="E23" s="36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96" t="str">
        <f ca="1">OFFSET(L!$C$1,MATCH("Declaration"&amp;ADDRESS(ROW(),COLUMN(),4),L!$A:$A,0)-1,SL,,)</f>
        <v>Answer the following questions 1 - 7 based on the declaration scope indicated above</v>
      </c>
      <c r="C24" s="396"/>
      <c r="D24" s="396"/>
      <c r="E24" s="396"/>
      <c r="F24" s="396"/>
      <c r="G24" s="396"/>
      <c r="H24" s="396"/>
      <c r="I24" s="396"/>
      <c r="J24" s="396"/>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59" t="str">
        <f ca="1">OFFSET(L!$C$1,MATCH("Declaration"&amp;ADDRESS(ROW(),COLUMN(),4),L!$A:$A,0)-1,SL,,)</f>
        <v>Answer</v>
      </c>
      <c r="E25" s="359"/>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7" t="s">
        <v>25</v>
      </c>
      <c r="E26" s="338"/>
      <c r="F26" s="9"/>
      <c r="G26" s="339"/>
      <c r="H26" s="340"/>
      <c r="I26" s="340"/>
      <c r="J26" s="34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7" t="s">
        <v>22</v>
      </c>
      <c r="E27" s="338"/>
      <c r="F27" s="9"/>
      <c r="G27" s="339"/>
      <c r="H27" s="340"/>
      <c r="I27" s="340"/>
      <c r="J27" s="34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6" t="s">
        <v>22</v>
      </c>
      <c r="E28" s="347"/>
      <c r="F28" s="9"/>
      <c r="G28" s="339"/>
      <c r="H28" s="340"/>
      <c r="I28" s="340"/>
      <c r="J28" s="34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9" t="s">
        <v>22</v>
      </c>
      <c r="E29" s="370"/>
      <c r="F29" s="9"/>
      <c r="G29" s="339"/>
      <c r="H29" s="340"/>
      <c r="I29" s="340"/>
      <c r="J29" s="341"/>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61" t="str">
        <f ca="1">D25</f>
        <v>Answer</v>
      </c>
      <c r="E31" s="361"/>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7" t="s">
        <v>25</v>
      </c>
      <c r="E32" s="338"/>
      <c r="F32" s="9"/>
      <c r="G32" s="339"/>
      <c r="H32" s="340"/>
      <c r="I32" s="340"/>
      <c r="J32" s="34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7" t="s">
        <v>22</v>
      </c>
      <c r="E33" s="338"/>
      <c r="F33" s="9"/>
      <c r="G33" s="339"/>
      <c r="H33" s="340"/>
      <c r="I33" s="340"/>
      <c r="J33" s="34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6" t="s">
        <v>22</v>
      </c>
      <c r="E34" s="347"/>
      <c r="F34" s="9"/>
      <c r="G34" s="339"/>
      <c r="H34" s="340"/>
      <c r="I34" s="340"/>
      <c r="J34" s="34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6" t="s">
        <v>22</v>
      </c>
      <c r="E35" s="347"/>
      <c r="F35" s="9"/>
      <c r="G35" s="339"/>
      <c r="H35" s="340"/>
      <c r="I35" s="340"/>
      <c r="J35" s="341"/>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1" t="str">
        <f ca="1">D25</f>
        <v>Answer</v>
      </c>
      <c r="E37" s="361"/>
      <c r="F37" s="15"/>
      <c r="G37" s="38" t="str">
        <f ca="1">G25</f>
        <v>Comments</v>
      </c>
      <c r="H37" s="375"/>
      <c r="I37" s="375"/>
      <c r="J37" s="375"/>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7" t="s">
        <v>22</v>
      </c>
      <c r="E38" s="338"/>
      <c r="F38" s="41"/>
      <c r="G38" s="339"/>
      <c r="H38" s="340"/>
      <c r="I38" s="340"/>
      <c r="J38" s="34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7" t="s">
        <v>22</v>
      </c>
      <c r="E39" s="338"/>
      <c r="F39" s="41"/>
      <c r="G39" s="339"/>
      <c r="H39" s="340"/>
      <c r="I39" s="340"/>
      <c r="J39" s="34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7"/>
      <c r="E40" s="338"/>
      <c r="F40" s="41"/>
      <c r="G40" s="339"/>
      <c r="H40" s="340"/>
      <c r="I40" s="340"/>
      <c r="J40" s="34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7"/>
      <c r="E41" s="338"/>
      <c r="F41" s="41"/>
      <c r="G41" s="339"/>
      <c r="H41" s="340"/>
      <c r="I41" s="340"/>
      <c r="J41" s="341"/>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61" t="str">
        <f ca="1">D25</f>
        <v>Answer</v>
      </c>
      <c r="E43" s="361"/>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7" t="s">
        <v>26</v>
      </c>
      <c r="E44" s="338"/>
      <c r="F44" s="41"/>
      <c r="G44" s="339"/>
      <c r="H44" s="340"/>
      <c r="I44" s="340"/>
      <c r="J44" s="34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7"/>
      <c r="E45" s="338"/>
      <c r="F45" s="41"/>
      <c r="G45" s="339"/>
      <c r="H45" s="340"/>
      <c r="I45" s="340"/>
      <c r="J45" s="34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6"/>
      <c r="E46" s="347"/>
      <c r="F46" s="41"/>
      <c r="G46" s="339"/>
      <c r="H46" s="340"/>
      <c r="I46" s="340"/>
      <c r="J46" s="34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6"/>
      <c r="E47" s="347"/>
      <c r="F47" s="41"/>
      <c r="G47" s="339"/>
      <c r="H47" s="340"/>
      <c r="I47" s="340"/>
      <c r="J47" s="341"/>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61" t="str">
        <f ca="1">D25</f>
        <v>Answer</v>
      </c>
      <c r="E49" s="361"/>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99" t="s">
        <v>30</v>
      </c>
      <c r="E50" s="400"/>
      <c r="F50" s="41"/>
      <c r="G50" s="339"/>
      <c r="H50" s="340"/>
      <c r="I50" s="340"/>
      <c r="J50" s="34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99" t="s">
        <v>30</v>
      </c>
      <c r="E51" s="400"/>
      <c r="F51" s="41"/>
      <c r="G51" s="339"/>
      <c r="H51" s="340"/>
      <c r="I51" s="340"/>
      <c r="J51" s="34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73"/>
      <c r="E52" s="374"/>
      <c r="F52" s="41"/>
      <c r="G52" s="339"/>
      <c r="H52" s="340"/>
      <c r="I52" s="340"/>
      <c r="J52" s="34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73"/>
      <c r="E53" s="374"/>
      <c r="F53" s="41"/>
      <c r="G53" s="339"/>
      <c r="H53" s="340"/>
      <c r="I53" s="340"/>
      <c r="J53" s="34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61" t="str">
        <f ca="1">D25</f>
        <v>Answer</v>
      </c>
      <c r="E55" s="361"/>
      <c r="F55" s="15"/>
      <c r="G55" s="38" t="str">
        <f ca="1">G25</f>
        <v>Comments</v>
      </c>
      <c r="H55" s="360"/>
      <c r="I55" s="360"/>
      <c r="J55" s="360"/>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57" t="s">
        <v>25</v>
      </c>
      <c r="E56" s="358"/>
      <c r="F56" s="41"/>
      <c r="G56" s="339"/>
      <c r="H56" s="340"/>
      <c r="I56" s="340"/>
      <c r="J56" s="34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7" t="s">
        <v>22</v>
      </c>
      <c r="E57" s="338"/>
      <c r="F57" s="41"/>
      <c r="G57" s="339"/>
      <c r="H57" s="340"/>
      <c r="I57" s="340"/>
      <c r="J57" s="34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6"/>
      <c r="E58" s="347"/>
      <c r="F58" s="41"/>
      <c r="G58" s="339"/>
      <c r="H58" s="340"/>
      <c r="I58" s="340"/>
      <c r="J58" s="34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6"/>
      <c r="E59" s="347"/>
      <c r="F59" s="41"/>
      <c r="G59" s="339"/>
      <c r="H59" s="340"/>
      <c r="I59" s="340"/>
      <c r="J59" s="34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61" t="str">
        <f ca="1">D25</f>
        <v>Answer</v>
      </c>
      <c r="E61" s="361"/>
      <c r="F61" s="15"/>
      <c r="G61" s="38" t="str">
        <f ca="1">G25</f>
        <v>Comments</v>
      </c>
      <c r="H61" s="360" t="str">
        <f>IF(Q69="(*)","Click here to enter smelter names","")</f>
        <v/>
      </c>
      <c r="I61" s="360"/>
      <c r="J61" s="360"/>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7" t="s">
        <v>25</v>
      </c>
      <c r="E62" s="338"/>
      <c r="F62" s="42"/>
      <c r="G62" s="339"/>
      <c r="H62" s="340"/>
      <c r="I62" s="340"/>
      <c r="J62" s="34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7" t="s">
        <v>22</v>
      </c>
      <c r="E63" s="338"/>
      <c r="F63" s="42"/>
      <c r="G63" s="339"/>
      <c r="H63" s="340"/>
      <c r="I63" s="340"/>
      <c r="J63" s="34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6"/>
      <c r="E64" s="347"/>
      <c r="F64" s="42"/>
      <c r="G64" s="339"/>
      <c r="H64" s="340"/>
      <c r="I64" s="340"/>
      <c r="J64" s="34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6"/>
      <c r="E65" s="347"/>
      <c r="F65" s="44"/>
      <c r="G65" s="339"/>
      <c r="H65" s="340"/>
      <c r="I65" s="340"/>
      <c r="J65" s="34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48" t="str">
        <f ca="1">OFFSET(L!$C$1,MATCH("Declaration"&amp;ADDRESS(ROW(),COLUMN(),4),L!$A:$A,0)-1,SL,,)</f>
        <v>Answer the Following Questions at a Company Level</v>
      </c>
      <c r="C67" s="348"/>
      <c r="D67" s="348"/>
      <c r="E67" s="348"/>
      <c r="F67" s="348"/>
      <c r="G67" s="348"/>
      <c r="H67" s="348"/>
      <c r="I67" s="348"/>
      <c r="J67" s="348"/>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59" t="str">
        <f ca="1">D25</f>
        <v>Answer</v>
      </c>
      <c r="E68" s="359"/>
      <c r="F68" s="47"/>
      <c r="G68" s="359" t="str">
        <f ca="1">G25</f>
        <v>Comments</v>
      </c>
      <c r="H68" s="359" t="e">
        <f>HLOOKUP(SL,LT,$O68,0)</f>
        <v>#NAME?</v>
      </c>
      <c r="I68" s="35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37" t="s">
        <v>25</v>
      </c>
      <c r="E69" s="338"/>
      <c r="F69" s="51"/>
      <c r="G69" s="339"/>
      <c r="H69" s="340"/>
      <c r="I69" s="340"/>
      <c r="J69" s="341"/>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51"/>
      <c r="H70" s="351"/>
      <c r="I70" s="351"/>
      <c r="J70" s="351"/>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7" t="s">
        <v>25</v>
      </c>
      <c r="E71" s="338"/>
      <c r="F71" s="51"/>
      <c r="G71" s="353" t="s">
        <v>19255</v>
      </c>
      <c r="H71" s="354"/>
      <c r="I71" s="354"/>
      <c r="J71" s="355"/>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45"/>
      <c r="E73" s="345"/>
      <c r="F73" s="234"/>
      <c r="G73" s="356"/>
      <c r="H73" s="356"/>
      <c r="I73" s="356"/>
      <c r="J73" s="356"/>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37" t="s">
        <v>25</v>
      </c>
      <c r="E74" s="338"/>
      <c r="F74" s="9"/>
      <c r="G74" s="339"/>
      <c r="H74" s="340"/>
      <c r="I74" s="340"/>
      <c r="J74" s="34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37" t="s">
        <v>25</v>
      </c>
      <c r="E75" s="338"/>
      <c r="F75" s="9"/>
      <c r="G75" s="339"/>
      <c r="H75" s="340"/>
      <c r="I75" s="340"/>
      <c r="J75" s="34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7" t="s">
        <v>25</v>
      </c>
      <c r="E77" s="338"/>
      <c r="F77" s="51"/>
      <c r="G77" s="339"/>
      <c r="H77" s="340"/>
      <c r="I77" s="340"/>
      <c r="J77" s="34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9" t="s">
        <v>34</v>
      </c>
      <c r="E79" s="350"/>
      <c r="F79" s="51"/>
      <c r="G79" s="339"/>
      <c r="H79" s="340"/>
      <c r="I79" s="340"/>
      <c r="J79" s="34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51"/>
      <c r="H80" s="351"/>
      <c r="I80" s="351"/>
      <c r="J80" s="351"/>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37" t="s">
        <v>25</v>
      </c>
      <c r="E81" s="338"/>
      <c r="F81" s="51"/>
      <c r="G81" s="339"/>
      <c r="H81" s="340"/>
      <c r="I81" s="340"/>
      <c r="J81" s="34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52"/>
      <c r="H82" s="352"/>
      <c r="I82" s="352"/>
      <c r="J82" s="352"/>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37" t="s">
        <v>22</v>
      </c>
      <c r="E83" s="338"/>
      <c r="F83" s="51"/>
      <c r="G83" s="339"/>
      <c r="H83" s="340"/>
      <c r="I83" s="340"/>
      <c r="J83" s="34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44" t="str">
        <f>IF(OR($D$8="",$I$3=""),"","Click here to check required fields completion")</f>
        <v/>
      </c>
      <c r="C84" s="344"/>
      <c r="D84" s="344"/>
      <c r="E84" s="344"/>
      <c r="F84" s="344"/>
      <c r="G84" s="344"/>
      <c r="H84" s="344"/>
      <c r="I84" s="344"/>
      <c r="J84" s="344"/>
      <c r="K84" s="30"/>
      <c r="L84" s="103"/>
      <c r="P84" s="3"/>
      <c r="Q84" s="3"/>
      <c r="R84" s="3"/>
      <c r="S84" s="3"/>
      <c r="T84" s="3"/>
      <c r="U84" s="3"/>
      <c r="V84" s="3"/>
      <c r="W84" s="3"/>
      <c r="X84" s="3"/>
      <c r="Y84" s="3">
        <v>86</v>
      </c>
      <c r="Z84" s="3"/>
      <c r="AA84" s="3"/>
      <c r="AB84" s="3"/>
      <c r="AC84" s="3"/>
      <c r="AD84" s="3"/>
      <c r="AE84" s="3"/>
      <c r="AF84" s="3"/>
      <c r="AG84" s="3"/>
      <c r="AH84" s="3"/>
    </row>
    <row r="85" spans="1:34" ht="15.5" thickBot="1">
      <c r="A85" s="342" t="str">
        <f ca="1">OFFSET(L!$C$1,MATCH("General"&amp;"Cpy",L!$A:$A,0)-1,SL,,)</f>
        <v>© 2024 Responsible Minerals Initiative. All rights reserved.</v>
      </c>
      <c r="B85" s="343"/>
      <c r="C85" s="343"/>
      <c r="D85" s="343"/>
      <c r="E85" s="343"/>
      <c r="F85" s="343"/>
      <c r="G85" s="343"/>
      <c r="H85" s="343"/>
      <c r="I85" s="343"/>
      <c r="J85" s="343"/>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sheet="1" formatCells="0" formatColumns="0" formatRows="0" insertColumns="0" insertRows="0" insertHyperlinks="0" deleteColumns="0" deleteRows="0" sort="0" autoFilter="0" pivotTables="0"/>
  <customSheetViews>
    <customSheetView guid="{C59130F4-2E03-5E48-94CE-6E4A0484DB9E}" showPageBreaks="1" outlineSymbols="0" zeroValues="0" fitToPage="1" printArea="1" hiddenRows="1" hiddenColumns="1" topLeftCell="A69">
      <selection activeCell="D9" sqref="D9:G9"/>
      <rowBreaks count="2" manualBreakCount="2">
        <brk id="58" max="11" man="1"/>
        <brk id="60" max="11" man="1"/>
      </rowBreaks>
    </customSheetView>
    <customSheetView guid="{81CF54B1-70AB-4A68-BB72-21925B5D4874}" scale="80" outlineSymbols="0" zeroValues="0" fitToPage="1" hiddenColumns="1">
      <selection activeCell="D8" sqref="D8:J8"/>
    </customSheetView>
    <customSheetView guid="{4BDF1A28-30D5-449D-B20E-D6C97EF9FAE1}" outlineSymbols="0" zeroValues="0" fitToPage="1" printArea="1" hiddenRows="1" hiddenColumns="1">
      <selection activeCell="D3" sqref="D3"/>
      <rowBreaks count="2" manualBreakCount="2">
        <brk id="58" max="11" man="1"/>
        <brk id="60" max="11" man="1"/>
      </rowBreaks>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78"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G71" r:id="rId1" xr:uid="{D2A7D387-AC24-4A6B-BDD5-B3FBEAB1EE66}"/>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68" activePane="bottomLeft" state="frozen"/>
      <selection activeCell="B24" sqref="B24:J24"/>
      <selection pane="bottomLeft" activeCell="A5" sqref="A5"/>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404" t="s">
        <v>42</v>
      </c>
      <c r="K2" s="405"/>
      <c r="L2" s="405"/>
      <c r="M2" s="405"/>
      <c r="N2" s="405"/>
      <c r="O2" s="405"/>
      <c r="P2" s="163"/>
      <c r="Q2" s="164"/>
      <c r="R2" s="165"/>
      <c r="S2" s="165"/>
      <c r="T2" s="165"/>
      <c r="AH2" s="131" t="s">
        <v>25</v>
      </c>
    </row>
    <row r="3" spans="1:34" s="17" customFormat="1" ht="249.5" customHeight="1">
      <c r="A3" s="202"/>
      <c r="B3" s="406"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6"/>
      <c r="D3" s="406"/>
      <c r="E3" s="406"/>
      <c r="F3" s="166"/>
      <c r="G3" s="407" t="str">
        <f ca="1">OFFSET(L!$C$1,MATCH("General"&amp;"Cpy",L!$A:$A,0)-1,SL,,)</f>
        <v>© 2024 Responsible Minerals Initiative. All rights reserved.</v>
      </c>
      <c r="H3" s="407"/>
      <c r="I3" s="408"/>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7">
      <c r="A5" s="314" t="s">
        <v>19202</v>
      </c>
      <c r="B5" s="315" t="s">
        <v>43</v>
      </c>
      <c r="C5" s="316" t="s">
        <v>49</v>
      </c>
      <c r="D5" s="315" t="s">
        <v>19202</v>
      </c>
      <c r="E5" s="315" t="s">
        <v>19202</v>
      </c>
      <c r="F5" s="315" t="s">
        <v>19202</v>
      </c>
      <c r="G5" s="315" t="s">
        <v>19203</v>
      </c>
      <c r="H5" s="317" t="s">
        <v>19202</v>
      </c>
      <c r="I5" s="318" t="s">
        <v>19202</v>
      </c>
      <c r="J5" s="318" t="s">
        <v>19202</v>
      </c>
      <c r="K5" s="319" t="s">
        <v>19202</v>
      </c>
      <c r="L5" s="319" t="s">
        <v>19202</v>
      </c>
      <c r="M5" s="319" t="s">
        <v>19202</v>
      </c>
      <c r="N5" s="319" t="s">
        <v>19202</v>
      </c>
      <c r="O5" s="319" t="s">
        <v>19202</v>
      </c>
      <c r="P5" s="320" t="s">
        <v>19204</v>
      </c>
      <c r="Q5" s="321" t="s">
        <v>19202</v>
      </c>
      <c r="R5" s="150" t="str">
        <f ca="1">IF(ISERROR($V5),"",OFFSET('Smelter Look-up'!$C$4,$V5-4,0)&amp;"")</f>
        <v/>
      </c>
      <c r="S5" s="156" t="str">
        <f t="shared" ref="S5:S63" ca="1" si="0">IF(B5="","",IF(ISERROR(MATCH($E5,CL,0)),"Unknown",INDIRECT("'C'!$A$"&amp;MATCH($E5,CL,0)+1)))</f>
        <v>Unknown</v>
      </c>
      <c r="T5" s="156" t="str">
        <f ca="1">IF(B5="","",IF(ISERROR(MATCH($J5,SorP!$B$1:$B$6226,0)),"",INDIRECT("'SorP'!$A$"&amp;MATCH($S5&amp;$J5,SorP!C:C,0))))</f>
        <v/>
      </c>
      <c r="U5" s="169"/>
      <c r="V5" s="170" t="e">
        <f>IF(C5="",NA(),MATCH($B5&amp;$C5,'Smelter Look-up'!$J:$J,0))</f>
        <v>#N/A</v>
      </c>
      <c r="X5" s="171">
        <f t="shared" ref="X5:X62" si="1">IF(AND(C5="Smelter not listed",OR(LEN(D5)=0,LEN(E5)=0)),1,0)</f>
        <v>1</v>
      </c>
      <c r="AB5" s="171" t="str">
        <f t="shared" ref="AB5:AB62" si="2">B5&amp;C5</f>
        <v>CobaltSmelter Not Listed</v>
      </c>
    </row>
    <row r="6" spans="1:34" s="171" customFormat="1" ht="20">
      <c r="A6" s="314" t="s">
        <v>19202</v>
      </c>
      <c r="B6" s="315" t="s">
        <v>43</v>
      </c>
      <c r="C6" s="316" t="s">
        <v>19205</v>
      </c>
      <c r="D6" s="315" t="s">
        <v>19202</v>
      </c>
      <c r="E6" s="315" t="s">
        <v>19202</v>
      </c>
      <c r="F6" s="315" t="s">
        <v>19202</v>
      </c>
      <c r="G6" s="315" t="s">
        <v>19202</v>
      </c>
      <c r="H6" s="317" t="s">
        <v>19202</v>
      </c>
      <c r="I6" s="318" t="s">
        <v>19202</v>
      </c>
      <c r="J6" s="318" t="s">
        <v>19202</v>
      </c>
      <c r="K6" s="319" t="s">
        <v>19202</v>
      </c>
      <c r="L6" s="319" t="s">
        <v>19202</v>
      </c>
      <c r="M6" s="319" t="s">
        <v>19202</v>
      </c>
      <c r="N6" s="319" t="s">
        <v>19202</v>
      </c>
      <c r="O6" s="319" t="s">
        <v>19202</v>
      </c>
      <c r="P6" s="320" t="s">
        <v>19204</v>
      </c>
      <c r="Q6" s="321" t="s">
        <v>19202</v>
      </c>
      <c r="R6" s="150" t="str">
        <f ca="1">IF(ISERROR($V6),"",OFFSET('Smelter Look-up'!$C$4,$V6-4,0)&amp;"")</f>
        <v/>
      </c>
      <c r="S6" s="156" t="str">
        <f t="shared" ca="1" si="0"/>
        <v>Unknown</v>
      </c>
      <c r="T6" s="156" t="str">
        <f ca="1">IF(B6="","",IF(ISERROR(MATCH($J6,SorP!$B$1:$B$6226,0)),"",INDIRECT("'SorP'!$A$"&amp;MATCH($S6&amp;$J6,SorP!C:C,0))))</f>
        <v/>
      </c>
      <c r="U6" s="169"/>
      <c r="V6" s="170" t="e">
        <f>IF(C6="",NA(),MATCH($B6&amp;$C6,'Smelter Look-up'!$J:$J,0))</f>
        <v>#N/A</v>
      </c>
      <c r="X6" s="171">
        <f t="shared" si="1"/>
        <v>0</v>
      </c>
      <c r="AB6" s="171" t="str">
        <f t="shared" si="2"/>
        <v>CobaltSmelter Not Yet Identified</v>
      </c>
    </row>
    <row r="7" spans="1:34" s="171" customFormat="1" ht="20">
      <c r="A7" s="314" t="s">
        <v>12528</v>
      </c>
      <c r="B7" s="315" t="s">
        <v>43</v>
      </c>
      <c r="C7" s="316" t="s">
        <v>12704</v>
      </c>
      <c r="D7" s="315" t="s">
        <v>19206</v>
      </c>
      <c r="E7" s="315" t="s">
        <v>71</v>
      </c>
      <c r="F7" s="315" t="s">
        <v>12528</v>
      </c>
      <c r="G7" s="315" t="s">
        <v>12</v>
      </c>
      <c r="H7" s="317" t="s">
        <v>19202</v>
      </c>
      <c r="I7" s="318" t="s">
        <v>12529</v>
      </c>
      <c r="J7" s="318" t="s">
        <v>74</v>
      </c>
      <c r="K7" s="319" t="s">
        <v>19202</v>
      </c>
      <c r="L7" s="319" t="s">
        <v>19202</v>
      </c>
      <c r="M7" s="319" t="s">
        <v>19202</v>
      </c>
      <c r="N7" s="319" t="s">
        <v>19202</v>
      </c>
      <c r="O7" s="319" t="s">
        <v>19202</v>
      </c>
      <c r="P7" s="320" t="s">
        <v>19204</v>
      </c>
      <c r="Q7" s="321" t="s">
        <v>19202</v>
      </c>
      <c r="R7" s="150" t="str">
        <f ca="1">IF(ISERROR($V7),"",OFFSET('Smelter Look-up'!$C$4,$V7-4,0)&amp;"")</f>
        <v>Anhui Hanrui New Material Co., Ltd.</v>
      </c>
      <c r="S7" s="156" t="str">
        <f t="shared" ca="1" si="0"/>
        <v>CN</v>
      </c>
      <c r="T7" s="156" t="str">
        <f ca="1">IF(B7="","",IF(ISERROR(MATCH($J7,SorP!$B$1:$B$6226,0)),"",INDIRECT("'SorP'!$A$"&amp;MATCH($S7&amp;$J7,SorP!C:C,0))))</f>
        <v>CN-AH</v>
      </c>
      <c r="U7" s="169"/>
      <c r="V7" s="170">
        <f>IF(C7="",NA(),MATCH($B7&amp;$C7,'Smelter Look-up'!$J:$J,0))</f>
        <v>5</v>
      </c>
      <c r="X7" s="171">
        <f t="shared" si="1"/>
        <v>0</v>
      </c>
      <c r="AB7" s="171" t="str">
        <f t="shared" si="2"/>
        <v>CobaltAnhui Hanrui New Material Co., Ltd.</v>
      </c>
    </row>
    <row r="8" spans="1:34" s="171" customFormat="1" ht="20">
      <c r="A8" s="314" t="s">
        <v>12752</v>
      </c>
      <c r="B8" s="315" t="s">
        <v>43</v>
      </c>
      <c r="C8" s="316" t="s">
        <v>12751</v>
      </c>
      <c r="D8" s="315" t="s">
        <v>12751</v>
      </c>
      <c r="E8" s="315" t="s">
        <v>328</v>
      </c>
      <c r="F8" s="315" t="s">
        <v>12752</v>
      </c>
      <c r="G8" s="315" t="s">
        <v>12</v>
      </c>
      <c r="H8" s="317" t="s">
        <v>19202</v>
      </c>
      <c r="I8" s="318" t="s">
        <v>12753</v>
      </c>
      <c r="J8" s="318" t="s">
        <v>12748</v>
      </c>
      <c r="K8" s="319" t="s">
        <v>19202</v>
      </c>
      <c r="L8" s="319" t="s">
        <v>19202</v>
      </c>
      <c r="M8" s="319" t="s">
        <v>19202</v>
      </c>
      <c r="N8" s="319" t="s">
        <v>19202</v>
      </c>
      <c r="O8" s="319" t="s">
        <v>19202</v>
      </c>
      <c r="P8" s="320" t="s">
        <v>19204</v>
      </c>
      <c r="Q8" s="321" t="s">
        <v>19202</v>
      </c>
      <c r="R8" s="150" t="str">
        <f ca="1">IF(ISERROR($V8),"",OFFSET('Smelter Look-up'!$C$4,$V8-4,0)&amp;"")</f>
        <v>Attero Recycling Pvt Ltd</v>
      </c>
      <c r="S8" s="156" t="str">
        <f t="shared" ca="1" si="0"/>
        <v>IN</v>
      </c>
      <c r="T8" s="156" t="str">
        <f ca="1">IF(B8="","",IF(ISERROR(MATCH($J8,SorP!$B$1:$B$6226,0)),"",INDIRECT("'SorP'!$A$"&amp;MATCH($S8&amp;$J8,SorP!C:C,0))))</f>
        <v>IN-UK</v>
      </c>
      <c r="U8" s="169"/>
      <c r="V8" s="170">
        <f>IF(C8="",NA(),MATCH($B8&amp;$C8,'Smelter Look-up'!$J:$J,0))</f>
        <v>6</v>
      </c>
      <c r="X8" s="171">
        <f t="shared" si="1"/>
        <v>0</v>
      </c>
      <c r="AB8" s="171" t="str">
        <f t="shared" si="2"/>
        <v>CobaltAttero Recycling Pvt Ltd</v>
      </c>
    </row>
    <row r="9" spans="1:34" s="171" customFormat="1" ht="27">
      <c r="A9" s="314" t="s">
        <v>67</v>
      </c>
      <c r="B9" s="315" t="s">
        <v>43</v>
      </c>
      <c r="C9" s="316" t="s">
        <v>65</v>
      </c>
      <c r="D9" s="315" t="s">
        <v>65</v>
      </c>
      <c r="E9" s="315" t="s">
        <v>66</v>
      </c>
      <c r="F9" s="315" t="s">
        <v>67</v>
      </c>
      <c r="G9" s="315" t="s">
        <v>12</v>
      </c>
      <c r="H9" s="317" t="s">
        <v>19202</v>
      </c>
      <c r="I9" s="318" t="s">
        <v>68</v>
      </c>
      <c r="J9" s="318" t="s">
        <v>19207</v>
      </c>
      <c r="K9" s="319" t="s">
        <v>19202</v>
      </c>
      <c r="L9" s="319" t="s">
        <v>19202</v>
      </c>
      <c r="M9" s="319" t="s">
        <v>19202</v>
      </c>
      <c r="N9" s="319" t="s">
        <v>19202</v>
      </c>
      <c r="O9" s="319" t="s">
        <v>19202</v>
      </c>
      <c r="P9" s="320" t="s">
        <v>19204</v>
      </c>
      <c r="Q9" s="321" t="s">
        <v>19202</v>
      </c>
      <c r="R9" s="150" t="str">
        <f ca="1">IF(ISERROR($V9),"",OFFSET('Smelter Look-up'!$C$4,$V9-4,0)&amp;"")</f>
        <v>Chemaf Etoile</v>
      </c>
      <c r="S9" s="156" t="str">
        <f t="shared" ca="1" si="0"/>
        <v>CD</v>
      </c>
      <c r="T9" s="156" t="str">
        <f ca="1">IF(B9="","",IF(ISERROR(MATCH($J9,SorP!$B$1:$B$6226,0)),"",INDIRECT("'SorP'!$A$"&amp;MATCH($S9&amp;$J9,SorP!C:C,0))))</f>
        <v/>
      </c>
      <c r="U9" s="169"/>
      <c r="V9" s="170">
        <f>IF(C9="",NA(),MATCH($B9&amp;$C9,'Smelter Look-up'!$J:$J,0))</f>
        <v>8</v>
      </c>
      <c r="X9" s="171">
        <f t="shared" si="1"/>
        <v>0</v>
      </c>
      <c r="AB9" s="171" t="str">
        <f t="shared" si="2"/>
        <v>CobaltChemaf Etoile</v>
      </c>
    </row>
    <row r="10" spans="1:34" s="171" customFormat="1" ht="27">
      <c r="A10" s="314" t="s">
        <v>67</v>
      </c>
      <c r="B10" s="315" t="s">
        <v>43</v>
      </c>
      <c r="C10" s="316" t="s">
        <v>65</v>
      </c>
      <c r="D10" s="315" t="s">
        <v>65</v>
      </c>
      <c r="E10" s="315" t="s">
        <v>66</v>
      </c>
      <c r="F10" s="315" t="s">
        <v>67</v>
      </c>
      <c r="G10" s="315" t="s">
        <v>12</v>
      </c>
      <c r="H10" s="317" t="s">
        <v>19202</v>
      </c>
      <c r="I10" s="318" t="s">
        <v>68</v>
      </c>
      <c r="J10" s="318" t="s">
        <v>69</v>
      </c>
      <c r="K10" s="319" t="s">
        <v>19202</v>
      </c>
      <c r="L10" s="319" t="s">
        <v>19202</v>
      </c>
      <c r="M10" s="319" t="s">
        <v>19202</v>
      </c>
      <c r="N10" s="319" t="s">
        <v>19202</v>
      </c>
      <c r="O10" s="319" t="s">
        <v>19202</v>
      </c>
      <c r="P10" s="320" t="s">
        <v>19204</v>
      </c>
      <c r="Q10" s="321" t="s">
        <v>19202</v>
      </c>
      <c r="R10" s="150" t="str">
        <f ca="1">IF(ISERROR($V10),"",OFFSET('Smelter Look-up'!$C$4,$V10-4,0)&amp;"")</f>
        <v>Chemaf Etoile</v>
      </c>
      <c r="S10" s="156" t="str">
        <f t="shared" ca="1" si="0"/>
        <v>CD</v>
      </c>
      <c r="T10" s="156" t="str">
        <f ca="1">IF(B10="","",IF(ISERROR(MATCH($J10,SorP!$B$1:$B$6226,0)),"",INDIRECT("'SorP'!$A$"&amp;MATCH($S10&amp;$J10,SorP!C:C,0))))</f>
        <v>CD-HK</v>
      </c>
      <c r="U10" s="169"/>
      <c r="V10" s="170">
        <f>IF(C10="",NA(),MATCH($B10&amp;$C10,'Smelter Look-up'!$J:$J,0))</f>
        <v>8</v>
      </c>
      <c r="X10" s="171">
        <f t="shared" si="1"/>
        <v>0</v>
      </c>
      <c r="AB10" s="171" t="str">
        <f t="shared" si="2"/>
        <v>CobaltChemaf Etoile</v>
      </c>
    </row>
    <row r="11" spans="1:34" s="171" customFormat="1" ht="27">
      <c r="A11" s="322" t="s">
        <v>67</v>
      </c>
      <c r="B11" s="315" t="s">
        <v>43</v>
      </c>
      <c r="C11" s="316" t="s">
        <v>198</v>
      </c>
      <c r="D11" s="315" t="s">
        <v>65</v>
      </c>
      <c r="E11" s="315" t="s">
        <v>66</v>
      </c>
      <c r="F11" s="315" t="s">
        <v>67</v>
      </c>
      <c r="G11" s="315" t="s">
        <v>12</v>
      </c>
      <c r="H11" s="317" t="s">
        <v>19202</v>
      </c>
      <c r="I11" s="318" t="s">
        <v>68</v>
      </c>
      <c r="J11" s="318" t="s">
        <v>19207</v>
      </c>
      <c r="K11" s="319" t="s">
        <v>19202</v>
      </c>
      <c r="L11" s="319" t="s">
        <v>19202</v>
      </c>
      <c r="M11" s="319" t="s">
        <v>19202</v>
      </c>
      <c r="N11" s="319" t="s">
        <v>19202</v>
      </c>
      <c r="O11" s="319" t="s">
        <v>19202</v>
      </c>
      <c r="P11" s="320" t="s">
        <v>19204</v>
      </c>
      <c r="Q11" s="321" t="s">
        <v>19202</v>
      </c>
      <c r="R11" s="150" t="str">
        <f ca="1">IF(ISERROR($V11),"",OFFSET('Smelter Look-up'!$C$4,$V11-4,0)&amp;"")</f>
        <v>Chemaf Etoile</v>
      </c>
      <c r="S11" s="156" t="str">
        <f t="shared" ca="1" si="0"/>
        <v>CD</v>
      </c>
      <c r="T11" s="156" t="str">
        <f ca="1">IF(B11="","",IF(ISERROR(MATCH($J11,SorP!$B$1:$B$6226,0)),"",INDIRECT("'SorP'!$A$"&amp;MATCH($S11&amp;$J11,SorP!C:C,0))))</f>
        <v/>
      </c>
      <c r="U11" s="169"/>
      <c r="V11" s="170">
        <f>IF(C11="",NA(),MATCH($B11&amp;$C11,'Smelter Look-up'!$J:$J,0))</f>
        <v>77</v>
      </c>
      <c r="X11" s="171">
        <f t="shared" si="1"/>
        <v>0</v>
      </c>
      <c r="AB11" s="171" t="str">
        <f t="shared" si="2"/>
        <v>CobaltLubumbashi (Mine de L’Etoile)</v>
      </c>
    </row>
    <row r="12" spans="1:34" s="171" customFormat="1" ht="20">
      <c r="A12" s="314" t="s">
        <v>78</v>
      </c>
      <c r="B12" s="315" t="s">
        <v>43</v>
      </c>
      <c r="C12" s="316" t="s">
        <v>76</v>
      </c>
      <c r="D12" s="315" t="s">
        <v>76</v>
      </c>
      <c r="E12" s="315" t="s">
        <v>77</v>
      </c>
      <c r="F12" s="315" t="s">
        <v>78</v>
      </c>
      <c r="G12" s="315" t="s">
        <v>12</v>
      </c>
      <c r="H12" s="317" t="s">
        <v>19202</v>
      </c>
      <c r="I12" s="318" t="s">
        <v>79</v>
      </c>
      <c r="J12" s="318" t="s">
        <v>7841</v>
      </c>
      <c r="K12" s="319" t="s">
        <v>19202</v>
      </c>
      <c r="L12" s="319" t="s">
        <v>19202</v>
      </c>
      <c r="M12" s="319" t="s">
        <v>19202</v>
      </c>
      <c r="N12" s="319" t="s">
        <v>19202</v>
      </c>
      <c r="O12" s="319" t="s">
        <v>19202</v>
      </c>
      <c r="P12" s="320" t="s">
        <v>19204</v>
      </c>
      <c r="Q12" s="321" t="s">
        <v>19202</v>
      </c>
      <c r="R12" s="150" t="str">
        <f ca="1">IF(ISERROR($V12),"",OFFSET('Smelter Look-up'!$C$4,$V12-4,0)&amp;"")</f>
        <v>Compagnie de Tifnout Tiranimine</v>
      </c>
      <c r="S12" s="156" t="str">
        <f t="shared" ca="1" si="0"/>
        <v>MA</v>
      </c>
      <c r="T12" s="156" t="str">
        <f ca="1">IF(B12="","",IF(ISERROR(MATCH($J12,SorP!$B$1:$B$6226,0)),"",INDIRECT("'SorP'!$A$"&amp;MATCH($S12&amp;$J12,SorP!C:C,0))))</f>
        <v>MA-07</v>
      </c>
      <c r="U12" s="169"/>
      <c r="V12" s="170">
        <f>IF(C12="",NA(),MATCH($B12&amp;$C12,'Smelter Look-up'!$J:$J,0))</f>
        <v>11</v>
      </c>
      <c r="X12" s="171">
        <f t="shared" si="1"/>
        <v>0</v>
      </c>
      <c r="AB12" s="171" t="str">
        <f t="shared" si="2"/>
        <v>CobaltCompagnie de Tifnout Tiranimine</v>
      </c>
    </row>
    <row r="13" spans="1:34" s="171" customFormat="1" ht="20">
      <c r="A13" s="314" t="s">
        <v>78</v>
      </c>
      <c r="B13" s="315" t="s">
        <v>43</v>
      </c>
      <c r="C13" s="316" t="s">
        <v>76</v>
      </c>
      <c r="D13" s="315" t="s">
        <v>76</v>
      </c>
      <c r="E13" s="315" t="s">
        <v>77</v>
      </c>
      <c r="F13" s="315" t="s">
        <v>78</v>
      </c>
      <c r="G13" s="315" t="s">
        <v>12</v>
      </c>
      <c r="H13" s="323" t="s">
        <v>19208</v>
      </c>
      <c r="I13" s="318" t="s">
        <v>79</v>
      </c>
      <c r="J13" s="318" t="s">
        <v>7841</v>
      </c>
      <c r="K13" s="319" t="s">
        <v>19202</v>
      </c>
      <c r="L13" s="319" t="s">
        <v>19202</v>
      </c>
      <c r="M13" s="319" t="s">
        <v>19202</v>
      </c>
      <c r="N13" s="319" t="s">
        <v>19202</v>
      </c>
      <c r="O13" s="319" t="s">
        <v>19202</v>
      </c>
      <c r="P13" s="320" t="s">
        <v>19204</v>
      </c>
      <c r="Q13" s="321" t="s">
        <v>19202</v>
      </c>
      <c r="R13" s="150" t="str">
        <f ca="1">IF(ISERROR($V13),"",OFFSET('Smelter Look-up'!$C$4,$V13-4,0)&amp;"")</f>
        <v>Compagnie de Tifnout Tiranimine</v>
      </c>
      <c r="S13" s="156" t="str">
        <f t="shared" ca="1" si="0"/>
        <v>MA</v>
      </c>
      <c r="T13" s="156" t="str">
        <f ca="1">IF(B13="","",IF(ISERROR(MATCH($J13,SorP!$B$1:$B$6226,0)),"",INDIRECT("'SorP'!$A$"&amp;MATCH($S13&amp;$J13,SorP!C:C,0))))</f>
        <v>MA-07</v>
      </c>
      <c r="U13" s="169"/>
      <c r="V13" s="170">
        <f>IF(C13="",NA(),MATCH($B13&amp;$C13,'Smelter Look-up'!$J:$J,0))</f>
        <v>11</v>
      </c>
      <c r="X13" s="171">
        <f t="shared" si="1"/>
        <v>0</v>
      </c>
      <c r="AB13" s="171" t="str">
        <f t="shared" si="2"/>
        <v>CobaltCompagnie de Tifnout Tiranimine</v>
      </c>
    </row>
    <row r="14" spans="1:34" s="171" customFormat="1" ht="27">
      <c r="A14" s="322" t="s">
        <v>78</v>
      </c>
      <c r="B14" s="315" t="s">
        <v>43</v>
      </c>
      <c r="C14" s="316" t="s">
        <v>80</v>
      </c>
      <c r="D14" s="315" t="s">
        <v>80</v>
      </c>
      <c r="E14" s="315" t="s">
        <v>77</v>
      </c>
      <c r="F14" s="315" t="s">
        <v>78</v>
      </c>
      <c r="G14" s="315" t="s">
        <v>12</v>
      </c>
      <c r="H14" s="317" t="s">
        <v>19202</v>
      </c>
      <c r="I14" s="318" t="s">
        <v>79</v>
      </c>
      <c r="J14" s="318" t="s">
        <v>7841</v>
      </c>
      <c r="K14" s="319" t="s">
        <v>19202</v>
      </c>
      <c r="L14" s="319" t="s">
        <v>19202</v>
      </c>
      <c r="M14" s="319" t="s">
        <v>19202</v>
      </c>
      <c r="N14" s="319" t="s">
        <v>19202</v>
      </c>
      <c r="O14" s="319" t="s">
        <v>19202</v>
      </c>
      <c r="P14" s="320" t="s">
        <v>19204</v>
      </c>
      <c r="Q14" s="321" t="s">
        <v>19202</v>
      </c>
      <c r="R14" s="150" t="str">
        <f ca="1">IF(ISERROR($V14),"",OFFSET('Smelter Look-up'!$C$4,$V14-4,0)&amp;"")</f>
        <v>Compagnie de Tifnout Tiranimine</v>
      </c>
      <c r="S14" s="156" t="str">
        <f t="shared" ca="1" si="0"/>
        <v>MA</v>
      </c>
      <c r="T14" s="156" t="str">
        <f ca="1">IF(B14="","",IF(ISERROR(MATCH($J14,SorP!$B$1:$B$6226,0)),"",INDIRECT("'SorP'!$A$"&amp;MATCH($S14&amp;$J14,SorP!C:C,0))))</f>
        <v>MA-07</v>
      </c>
      <c r="U14" s="169"/>
      <c r="V14" s="170">
        <f>IF(C14="",NA(),MATCH($B14&amp;$C14,'Smelter Look-up'!$J:$J,0))</f>
        <v>12</v>
      </c>
      <c r="X14" s="171">
        <f t="shared" si="1"/>
        <v>0</v>
      </c>
      <c r="AB14" s="171" t="str">
        <f t="shared" si="2"/>
        <v>CobaltComplexe hydrométallurgique de Guemassa</v>
      </c>
    </row>
    <row r="15" spans="1:34" s="171" customFormat="1" ht="27">
      <c r="A15" s="322" t="s">
        <v>78</v>
      </c>
      <c r="B15" s="315" t="s">
        <v>43</v>
      </c>
      <c r="C15" s="316" t="s">
        <v>80</v>
      </c>
      <c r="D15" s="315" t="s">
        <v>80</v>
      </c>
      <c r="E15" s="315" t="s">
        <v>77</v>
      </c>
      <c r="F15" s="315" t="s">
        <v>78</v>
      </c>
      <c r="G15" s="315" t="s">
        <v>12</v>
      </c>
      <c r="H15" s="317" t="s">
        <v>79</v>
      </c>
      <c r="I15" s="318" t="s">
        <v>79</v>
      </c>
      <c r="J15" s="318" t="s">
        <v>7841</v>
      </c>
      <c r="K15" s="319" t="s">
        <v>19202</v>
      </c>
      <c r="L15" s="319" t="s">
        <v>19202</v>
      </c>
      <c r="M15" s="319" t="s">
        <v>19202</v>
      </c>
      <c r="N15" s="319" t="s">
        <v>19202</v>
      </c>
      <c r="O15" s="319" t="s">
        <v>19202</v>
      </c>
      <c r="P15" s="320" t="s">
        <v>19204</v>
      </c>
      <c r="Q15" s="321" t="s">
        <v>19202</v>
      </c>
      <c r="R15" s="150" t="str">
        <f ca="1">IF(ISERROR($V15),"",OFFSET('Smelter Look-up'!$C$4,$V15-4,0)&amp;"")</f>
        <v>Compagnie de Tifnout Tiranimine</v>
      </c>
      <c r="S15" s="156" t="str">
        <f t="shared" ca="1" si="0"/>
        <v>MA</v>
      </c>
      <c r="T15" s="156" t="str">
        <f ca="1">IF(B15="","",IF(ISERROR(MATCH($J15,SorP!$B$1:$B$6226,0)),"",INDIRECT("'SorP'!$A$"&amp;MATCH($S15&amp;$J15,SorP!C:C,0))))</f>
        <v>MA-07</v>
      </c>
      <c r="U15" s="169"/>
      <c r="V15" s="170">
        <f>IF(C15="",NA(),MATCH($B15&amp;$C15,'Smelter Look-up'!$J:$J,0))</f>
        <v>12</v>
      </c>
      <c r="X15" s="171">
        <f t="shared" si="1"/>
        <v>0</v>
      </c>
      <c r="AB15" s="171" t="str">
        <f t="shared" si="2"/>
        <v>CobaltComplexe hydrométallurgique de Guemassa</v>
      </c>
    </row>
    <row r="16" spans="1:34" s="171" customFormat="1" ht="20">
      <c r="A16" s="314" t="s">
        <v>88</v>
      </c>
      <c r="B16" s="315" t="s">
        <v>43</v>
      </c>
      <c r="C16" s="316" t="s">
        <v>91</v>
      </c>
      <c r="D16" s="315" t="s">
        <v>86</v>
      </c>
      <c r="E16" s="315" t="s">
        <v>87</v>
      </c>
      <c r="F16" s="315" t="s">
        <v>88</v>
      </c>
      <c r="G16" s="315" t="s">
        <v>12</v>
      </c>
      <c r="H16" s="323" t="s">
        <v>19208</v>
      </c>
      <c r="I16" s="318" t="s">
        <v>89</v>
      </c>
      <c r="J16" s="318" t="s">
        <v>90</v>
      </c>
      <c r="K16" s="319" t="s">
        <v>19202</v>
      </c>
      <c r="L16" s="319" t="s">
        <v>19202</v>
      </c>
      <c r="M16" s="319" t="s">
        <v>19202</v>
      </c>
      <c r="N16" s="319" t="s">
        <v>19202</v>
      </c>
      <c r="O16" s="319" t="s">
        <v>19202</v>
      </c>
      <c r="P16" s="320" t="s">
        <v>19204</v>
      </c>
      <c r="Q16" s="321" t="s">
        <v>19202</v>
      </c>
      <c r="R16" s="150" t="str">
        <f ca="1">IF(ISERROR($V16),"",OFFSET('Smelter Look-up'!$C$4,$V16-4,0)&amp;"")</f>
        <v>Cosmo Chemical, Ltd.</v>
      </c>
      <c r="S16" s="156" t="str">
        <f t="shared" ca="1" si="0"/>
        <v>KR</v>
      </c>
      <c r="T16" s="156" t="str">
        <f ca="1">IF(B16="","",IF(ISERROR(MATCH($J16,SorP!$B$1:$B$6226,0)),"",INDIRECT("'SorP'!$A$"&amp;MATCH($S16&amp;$J16,SorP!C:C,0))))</f>
        <v>KR-48</v>
      </c>
      <c r="U16" s="169"/>
      <c r="V16" s="170">
        <f>IF(C16="",NA(),MATCH($B16&amp;$C16,'Smelter Look-up'!$J:$J,0))</f>
        <v>15</v>
      </c>
      <c r="X16" s="171">
        <f t="shared" si="1"/>
        <v>0</v>
      </c>
      <c r="AB16" s="171" t="str">
        <f t="shared" si="2"/>
        <v>CobaltCosmo EcoChem Co., Ltd.</v>
      </c>
    </row>
    <row r="17" spans="1:28" s="171" customFormat="1" ht="20">
      <c r="A17" s="314" t="s">
        <v>88</v>
      </c>
      <c r="B17" s="315" t="s">
        <v>43</v>
      </c>
      <c r="C17" s="316" t="s">
        <v>91</v>
      </c>
      <c r="D17" s="315" t="s">
        <v>91</v>
      </c>
      <c r="E17" s="315" t="s">
        <v>87</v>
      </c>
      <c r="F17" s="315" t="s">
        <v>88</v>
      </c>
      <c r="G17" s="315" t="s">
        <v>12</v>
      </c>
      <c r="H17" s="317" t="s">
        <v>19202</v>
      </c>
      <c r="I17" s="318" t="s">
        <v>89</v>
      </c>
      <c r="J17" s="318" t="s">
        <v>6902</v>
      </c>
      <c r="K17" s="319" t="s">
        <v>19202</v>
      </c>
      <c r="L17" s="319" t="s">
        <v>19202</v>
      </c>
      <c r="M17" s="319" t="s">
        <v>19202</v>
      </c>
      <c r="N17" s="319" t="s">
        <v>19202</v>
      </c>
      <c r="O17" s="319" t="s">
        <v>19202</v>
      </c>
      <c r="P17" s="320" t="s">
        <v>19204</v>
      </c>
      <c r="Q17" s="321" t="s">
        <v>19202</v>
      </c>
      <c r="R17" s="150" t="str">
        <f ca="1">IF(ISERROR($V17),"",OFFSET('Smelter Look-up'!$C$4,$V17-4,0)&amp;"")</f>
        <v>Cosmo Chemical, Ltd.</v>
      </c>
      <c r="S17" s="156" t="str">
        <f t="shared" ca="1" si="0"/>
        <v>KR</v>
      </c>
      <c r="T17" s="156" t="str">
        <f ca="1">IF(B17="","",IF(ISERROR(MATCH($J17,SorP!$B$1:$B$6226,0)),"",INDIRECT("'SorP'!$A$"&amp;MATCH($S17&amp;$J17,SorP!C:C,0))))</f>
        <v>KR-31</v>
      </c>
      <c r="U17" s="169"/>
      <c r="V17" s="170">
        <f>IF(C17="",NA(),MATCH($B17&amp;$C17,'Smelter Look-up'!$J:$J,0))</f>
        <v>15</v>
      </c>
      <c r="X17" s="171">
        <f t="shared" si="1"/>
        <v>0</v>
      </c>
      <c r="AB17" s="171" t="str">
        <f t="shared" si="2"/>
        <v>CobaltCosmo EcoChem Co., Ltd.</v>
      </c>
    </row>
    <row r="18" spans="1:28" s="171" customFormat="1" ht="20">
      <c r="A18" s="314" t="s">
        <v>88</v>
      </c>
      <c r="B18" s="315" t="s">
        <v>43</v>
      </c>
      <c r="C18" s="316" t="s">
        <v>91</v>
      </c>
      <c r="D18" s="315" t="s">
        <v>91</v>
      </c>
      <c r="E18" s="315" t="s">
        <v>87</v>
      </c>
      <c r="F18" s="315" t="s">
        <v>88</v>
      </c>
      <c r="G18" s="315" t="s">
        <v>12</v>
      </c>
      <c r="H18" s="317" t="s">
        <v>89</v>
      </c>
      <c r="I18" s="318" t="s">
        <v>89</v>
      </c>
      <c r="J18" s="318" t="s">
        <v>6902</v>
      </c>
      <c r="K18" s="319" t="s">
        <v>19202</v>
      </c>
      <c r="L18" s="319" t="s">
        <v>19202</v>
      </c>
      <c r="M18" s="319" t="s">
        <v>19202</v>
      </c>
      <c r="N18" s="319" t="s">
        <v>19202</v>
      </c>
      <c r="O18" s="319" t="s">
        <v>19202</v>
      </c>
      <c r="P18" s="320" t="s">
        <v>19204</v>
      </c>
      <c r="Q18" s="321" t="s">
        <v>19202</v>
      </c>
      <c r="R18" s="150" t="str">
        <f ca="1">IF(ISERROR($V18),"",OFFSET('Smelter Look-up'!$C$4,$V18-4,0)&amp;"")</f>
        <v>Cosmo Chemical, Ltd.</v>
      </c>
      <c r="S18" s="156" t="str">
        <f t="shared" ca="1" si="0"/>
        <v>KR</v>
      </c>
      <c r="T18" s="156" t="str">
        <f ca="1">IF(B18="","",IF(ISERROR(MATCH($J18,SorP!$B$1:$B$6226,0)),"",INDIRECT("'SorP'!$A$"&amp;MATCH($S18&amp;$J18,SorP!C:C,0))))</f>
        <v>KR-31</v>
      </c>
      <c r="U18" s="169"/>
      <c r="V18" s="170">
        <f>IF(C18="",NA(),MATCH($B18&amp;$C18,'Smelter Look-up'!$J:$J,0))</f>
        <v>15</v>
      </c>
      <c r="X18" s="171">
        <f t="shared" si="1"/>
        <v>0</v>
      </c>
      <c r="AB18" s="171" t="str">
        <f t="shared" si="2"/>
        <v>CobaltCosmo EcoChem Co., Ltd.</v>
      </c>
    </row>
    <row r="19" spans="1:28" s="171" customFormat="1" ht="20">
      <c r="A19" s="314" t="s">
        <v>94</v>
      </c>
      <c r="B19" s="315" t="s">
        <v>43</v>
      </c>
      <c r="C19" s="316" t="s">
        <v>92</v>
      </c>
      <c r="D19" s="315" t="s">
        <v>92</v>
      </c>
      <c r="E19" s="315" t="s">
        <v>93</v>
      </c>
      <c r="F19" s="315" t="s">
        <v>94</v>
      </c>
      <c r="G19" s="315" t="s">
        <v>12</v>
      </c>
      <c r="H19" s="317" t="s">
        <v>19202</v>
      </c>
      <c r="I19" s="318" t="s">
        <v>95</v>
      </c>
      <c r="J19" s="318" t="s">
        <v>95</v>
      </c>
      <c r="K19" s="319" t="s">
        <v>19202</v>
      </c>
      <c r="L19" s="319" t="s">
        <v>19202</v>
      </c>
      <c r="M19" s="319" t="s">
        <v>19202</v>
      </c>
      <c r="N19" s="319" t="s">
        <v>19202</v>
      </c>
      <c r="O19" s="319" t="s">
        <v>19202</v>
      </c>
      <c r="P19" s="320" t="s">
        <v>19204</v>
      </c>
      <c r="Q19" s="321" t="s">
        <v>19202</v>
      </c>
      <c r="R19" s="150" t="str">
        <f ca="1">IF(ISERROR($V19),"",OFFSET('Smelter Look-up'!$C$4,$V19-4,0)&amp;"")</f>
        <v>Dynatec Madagascar Company</v>
      </c>
      <c r="S19" s="156" t="str">
        <f t="shared" ca="1" si="0"/>
        <v>MG</v>
      </c>
      <c r="T19" s="156" t="str">
        <f ca="1">IF(B19="","",IF(ISERROR(MATCH($J19,SorP!$B$1:$B$6226,0)),"",INDIRECT("'SorP'!$A$"&amp;MATCH($S19&amp;$J19,SorP!C:C,0))))</f>
        <v>MG-A</v>
      </c>
      <c r="U19" s="169"/>
      <c r="V19" s="170">
        <f>IF(C19="",NA(),MATCH($B19&amp;$C19,'Smelter Look-up'!$J:$J,0))</f>
        <v>16</v>
      </c>
      <c r="X19" s="171">
        <f t="shared" si="1"/>
        <v>0</v>
      </c>
      <c r="AB19" s="171" t="str">
        <f t="shared" si="2"/>
        <v>CobaltDynatec Madagascar Company</v>
      </c>
    </row>
    <row r="20" spans="1:28" s="171" customFormat="1" ht="20">
      <c r="A20" s="322" t="s">
        <v>94</v>
      </c>
      <c r="B20" s="315" t="s">
        <v>43</v>
      </c>
      <c r="C20" s="316" t="s">
        <v>92</v>
      </c>
      <c r="D20" s="315" t="s">
        <v>92</v>
      </c>
      <c r="E20" s="315" t="s">
        <v>93</v>
      </c>
      <c r="F20" s="315" t="s">
        <v>94</v>
      </c>
      <c r="G20" s="315" t="s">
        <v>12</v>
      </c>
      <c r="H20" s="323" t="s">
        <v>19208</v>
      </c>
      <c r="I20" s="318" t="s">
        <v>95</v>
      </c>
      <c r="J20" s="318" t="s">
        <v>95</v>
      </c>
      <c r="K20" s="319" t="s">
        <v>19202</v>
      </c>
      <c r="L20" s="319" t="s">
        <v>19202</v>
      </c>
      <c r="M20" s="319" t="s">
        <v>19202</v>
      </c>
      <c r="N20" s="319" t="s">
        <v>19202</v>
      </c>
      <c r="O20" s="319" t="s">
        <v>19202</v>
      </c>
      <c r="P20" s="320" t="s">
        <v>19204</v>
      </c>
      <c r="Q20" s="321" t="s">
        <v>19202</v>
      </c>
      <c r="R20" s="150" t="str">
        <f ca="1">IF(ISERROR($V20),"",OFFSET('Smelter Look-up'!$C$4,$V20-4,0)&amp;"")</f>
        <v>Dynatec Madagascar Company</v>
      </c>
      <c r="S20" s="156" t="str">
        <f t="shared" ca="1" si="0"/>
        <v>MG</v>
      </c>
      <c r="T20" s="156" t="str">
        <f ca="1">IF(B20="","",IF(ISERROR(MATCH($J20,SorP!$B$1:$B$6226,0)),"",INDIRECT("'SorP'!$A$"&amp;MATCH($S20&amp;$J20,SorP!C:C,0))))</f>
        <v>MG-A</v>
      </c>
      <c r="U20" s="169"/>
      <c r="V20" s="170">
        <f>IF(C20="",NA(),MATCH($B20&amp;$C20,'Smelter Look-up'!$J:$J,0))</f>
        <v>16</v>
      </c>
      <c r="X20" s="171">
        <f t="shared" si="1"/>
        <v>0</v>
      </c>
      <c r="AB20" s="171" t="str">
        <f t="shared" si="2"/>
        <v>CobaltDynatec Madagascar Company</v>
      </c>
    </row>
    <row r="21" spans="1:28" s="171" customFormat="1" ht="20">
      <c r="A21" s="314" t="s">
        <v>102</v>
      </c>
      <c r="B21" s="315" t="s">
        <v>43</v>
      </c>
      <c r="C21" s="316" t="s">
        <v>277</v>
      </c>
      <c r="D21" s="315" t="s">
        <v>100</v>
      </c>
      <c r="E21" s="315" t="s">
        <v>101</v>
      </c>
      <c r="F21" s="315" t="s">
        <v>102</v>
      </c>
      <c r="G21" s="315" t="s">
        <v>12</v>
      </c>
      <c r="H21" s="317" t="s">
        <v>19202</v>
      </c>
      <c r="I21" s="318" t="s">
        <v>103</v>
      </c>
      <c r="J21" s="318" t="s">
        <v>104</v>
      </c>
      <c r="K21" s="319" t="s">
        <v>19202</v>
      </c>
      <c r="L21" s="319" t="s">
        <v>19202</v>
      </c>
      <c r="M21" s="319" t="s">
        <v>19202</v>
      </c>
      <c r="N21" s="319" t="s">
        <v>19202</v>
      </c>
      <c r="O21" s="319" t="s">
        <v>19202</v>
      </c>
      <c r="P21" s="320" t="s">
        <v>19204</v>
      </c>
      <c r="Q21" s="321" t="s">
        <v>19202</v>
      </c>
      <c r="R21" s="150" t="str">
        <f ca="1">IF(ISERROR($V21),"",OFFSET('Smelter Look-up'!$C$4,$V21-4,0)&amp;"")</f>
        <v>Fort Saskatchewan Metals Facility</v>
      </c>
      <c r="S21" s="156" t="str">
        <f t="shared" ca="1" si="0"/>
        <v>CA</v>
      </c>
      <c r="T21" s="156" t="str">
        <f ca="1">IF(B21="","",IF(ISERROR(MATCH($J21,SorP!$B$1:$B$6226,0)),"",INDIRECT("'SorP'!$A$"&amp;MATCH($S21&amp;$J21,SorP!C:C,0))))</f>
        <v>CA-ON</v>
      </c>
      <c r="U21" s="169"/>
      <c r="V21" s="170">
        <f>IF(C21="",NA(),MATCH($B21&amp;$C21,'Smelter Look-up'!$J:$J,0))</f>
        <v>123</v>
      </c>
      <c r="X21" s="171">
        <f t="shared" si="1"/>
        <v>0</v>
      </c>
      <c r="AB21" s="171" t="str">
        <f t="shared" si="2"/>
        <v>CobaltSherritt</v>
      </c>
    </row>
    <row r="22" spans="1:28" s="171" customFormat="1" ht="20">
      <c r="A22" s="314" t="s">
        <v>102</v>
      </c>
      <c r="B22" s="315" t="s">
        <v>43</v>
      </c>
      <c r="C22" s="316" t="s">
        <v>277</v>
      </c>
      <c r="D22" s="315" t="s">
        <v>100</v>
      </c>
      <c r="E22" s="315" t="s">
        <v>101</v>
      </c>
      <c r="F22" s="315" t="s">
        <v>102</v>
      </c>
      <c r="G22" s="315" t="s">
        <v>12</v>
      </c>
      <c r="H22" s="317" t="s">
        <v>103</v>
      </c>
      <c r="I22" s="318" t="s">
        <v>103</v>
      </c>
      <c r="J22" s="318" t="s">
        <v>104</v>
      </c>
      <c r="K22" s="319" t="s">
        <v>19202</v>
      </c>
      <c r="L22" s="319" t="s">
        <v>19202</v>
      </c>
      <c r="M22" s="319" t="s">
        <v>19202</v>
      </c>
      <c r="N22" s="319" t="s">
        <v>19202</v>
      </c>
      <c r="O22" s="319" t="s">
        <v>19202</v>
      </c>
      <c r="P22" s="320" t="s">
        <v>19204</v>
      </c>
      <c r="Q22" s="321" t="s">
        <v>19202</v>
      </c>
      <c r="R22" s="150" t="str">
        <f ca="1">IF(ISERROR($V22),"",OFFSET('Smelter Look-up'!$C$4,$V22-4,0)&amp;"")</f>
        <v>Fort Saskatchewan Metals Facility</v>
      </c>
      <c r="S22" s="156" t="str">
        <f t="shared" ca="1" si="0"/>
        <v>CA</v>
      </c>
      <c r="T22" s="156" t="str">
        <f ca="1">IF(B22="","",IF(ISERROR(MATCH($J22,SorP!$B$1:$B$6226,0)),"",INDIRECT("'SorP'!$A$"&amp;MATCH($S22&amp;$J22,SorP!C:C,0))))</f>
        <v>CA-ON</v>
      </c>
      <c r="U22" s="169"/>
      <c r="V22" s="170">
        <f>IF(C22="",NA(),MATCH($B22&amp;$C22,'Smelter Look-up'!$J:$J,0))</f>
        <v>123</v>
      </c>
      <c r="X22" s="171">
        <f t="shared" si="1"/>
        <v>0</v>
      </c>
      <c r="AB22" s="171" t="str">
        <f t="shared" si="2"/>
        <v>CobaltSherritt</v>
      </c>
    </row>
    <row r="23" spans="1:28" s="171" customFormat="1" ht="20">
      <c r="A23" s="314" t="s">
        <v>108</v>
      </c>
      <c r="B23" s="315" t="s">
        <v>43</v>
      </c>
      <c r="C23" s="316" t="s">
        <v>19209</v>
      </c>
      <c r="D23" s="315" t="s">
        <v>19209</v>
      </c>
      <c r="E23" s="315" t="s">
        <v>107</v>
      </c>
      <c r="F23" s="315" t="s">
        <v>108</v>
      </c>
      <c r="G23" s="315" t="s">
        <v>12</v>
      </c>
      <c r="H23" s="317" t="s">
        <v>19202</v>
      </c>
      <c r="I23" s="318" t="s">
        <v>109</v>
      </c>
      <c r="J23" s="318" t="s">
        <v>4625</v>
      </c>
      <c r="K23" s="319" t="s">
        <v>19202</v>
      </c>
      <c r="L23" s="319" t="s">
        <v>19202</v>
      </c>
      <c r="M23" s="319" t="s">
        <v>19202</v>
      </c>
      <c r="N23" s="319" t="s">
        <v>19202</v>
      </c>
      <c r="O23" s="319" t="s">
        <v>19202</v>
      </c>
      <c r="P23" s="320" t="s">
        <v>19204</v>
      </c>
      <c r="Q23" s="321" t="s">
        <v>19202</v>
      </c>
      <c r="R23" s="150" t="str">
        <f ca="1">IF(ISERROR($V23),"",OFFSET('Smelter Look-up'!$C$4,$V23-4,0)&amp;"")</f>
        <v/>
      </c>
      <c r="S23" s="156" t="str">
        <f t="shared" ca="1" si="0"/>
        <v>FI</v>
      </c>
      <c r="T23" s="156" t="str">
        <f ca="1">IF(B23="","",IF(ISERROR(MATCH($J23,SorP!$B$1:$B$6226,0)),"",INDIRECT("'SorP'!$A$"&amp;MATCH($S23&amp;$J23,SorP!C:C,0))))</f>
        <v>FI-07</v>
      </c>
      <c r="U23" s="169"/>
      <c r="V23" s="170" t="e">
        <f>IF(C23="",NA(),MATCH($B23&amp;$C23,'Smelter Look-up'!$J:$J,0))</f>
        <v>#N/A</v>
      </c>
      <c r="X23" s="171">
        <f t="shared" si="1"/>
        <v>0</v>
      </c>
      <c r="AB23" s="171" t="str">
        <f t="shared" si="2"/>
        <v>CobaltFreeport Cobalt Oy</v>
      </c>
    </row>
    <row r="24" spans="1:28" s="171" customFormat="1" ht="20">
      <c r="A24" s="324" t="s">
        <v>108</v>
      </c>
      <c r="B24" s="315" t="s">
        <v>43</v>
      </c>
      <c r="C24" s="316" t="s">
        <v>105</v>
      </c>
      <c r="D24" s="315" t="s">
        <v>19209</v>
      </c>
      <c r="E24" s="315" t="s">
        <v>107</v>
      </c>
      <c r="F24" s="315" t="s">
        <v>108</v>
      </c>
      <c r="G24" s="315" t="s">
        <v>12</v>
      </c>
      <c r="H24" s="317" t="s">
        <v>19202</v>
      </c>
      <c r="I24" s="318" t="s">
        <v>109</v>
      </c>
      <c r="J24" s="318" t="s">
        <v>4625</v>
      </c>
      <c r="K24" s="319" t="s">
        <v>19202</v>
      </c>
      <c r="L24" s="319" t="s">
        <v>19202</v>
      </c>
      <c r="M24" s="319" t="s">
        <v>19202</v>
      </c>
      <c r="N24" s="319" t="s">
        <v>19202</v>
      </c>
      <c r="O24" s="319" t="s">
        <v>19202</v>
      </c>
      <c r="P24" s="320" t="s">
        <v>19204</v>
      </c>
      <c r="Q24" s="321" t="s">
        <v>19202</v>
      </c>
      <c r="R24" s="150" t="str">
        <f ca="1">IF(ISERROR($V24),"",OFFSET('Smelter Look-up'!$C$4,$V24-4,0)&amp;"")</f>
        <v>Umicore Finland Oy</v>
      </c>
      <c r="S24" s="156" t="str">
        <f t="shared" ca="1" si="0"/>
        <v>FI</v>
      </c>
      <c r="T24" s="156" t="str">
        <f ca="1">IF(B24="","",IF(ISERROR(MATCH($J24,SorP!$B$1:$B$6226,0)),"",INDIRECT("'SorP'!$A$"&amp;MATCH($S24&amp;$J24,SorP!C:C,0))))</f>
        <v>FI-07</v>
      </c>
      <c r="U24" s="169"/>
      <c r="V24" s="170">
        <f>IF(C24="",NA(),MATCH($B24&amp;$C24,'Smelter Look-up'!$J:$J,0))</f>
        <v>24</v>
      </c>
      <c r="X24" s="171">
        <f t="shared" si="1"/>
        <v>0</v>
      </c>
      <c r="AB24" s="171" t="str">
        <f t="shared" si="2"/>
        <v>CobaltFreeport Kokkola</v>
      </c>
    </row>
    <row r="25" spans="1:28" s="171" customFormat="1" ht="20">
      <c r="A25" s="324" t="s">
        <v>108</v>
      </c>
      <c r="B25" s="315" t="s">
        <v>43</v>
      </c>
      <c r="C25" s="316" t="s">
        <v>105</v>
      </c>
      <c r="D25" s="315" t="s">
        <v>19209</v>
      </c>
      <c r="E25" s="315" t="s">
        <v>107</v>
      </c>
      <c r="F25" s="315" t="s">
        <v>108</v>
      </c>
      <c r="G25" s="315" t="s">
        <v>12</v>
      </c>
      <c r="H25" s="317" t="s">
        <v>109</v>
      </c>
      <c r="I25" s="318" t="s">
        <v>109</v>
      </c>
      <c r="J25" s="318" t="s">
        <v>4625</v>
      </c>
      <c r="K25" s="319" t="s">
        <v>19202</v>
      </c>
      <c r="L25" s="319" t="s">
        <v>19202</v>
      </c>
      <c r="M25" s="319" t="s">
        <v>19202</v>
      </c>
      <c r="N25" s="319" t="s">
        <v>19202</v>
      </c>
      <c r="O25" s="319" t="s">
        <v>19202</v>
      </c>
      <c r="P25" s="320" t="s">
        <v>19204</v>
      </c>
      <c r="Q25" s="321" t="s">
        <v>19202</v>
      </c>
      <c r="R25" s="150" t="str">
        <f ca="1">IF(ISERROR($V25),"",OFFSET('Smelter Look-up'!$C$4,$V25-4,0)&amp;"")</f>
        <v>Umicore Finland Oy</v>
      </c>
      <c r="S25" s="156" t="str">
        <f t="shared" ca="1" si="0"/>
        <v>FI</v>
      </c>
      <c r="T25" s="156" t="str">
        <f ca="1">IF(B25="","",IF(ISERROR(MATCH($J25,SorP!$B$1:$B$6226,0)),"",INDIRECT("'SorP'!$A$"&amp;MATCH($S25&amp;$J25,SorP!C:C,0))))</f>
        <v>FI-07</v>
      </c>
      <c r="U25" s="169"/>
      <c r="V25" s="170">
        <f>IF(C25="",NA(),MATCH($B25&amp;$C25,'Smelter Look-up'!$J:$J,0))</f>
        <v>24</v>
      </c>
      <c r="X25" s="171">
        <f t="shared" si="1"/>
        <v>0</v>
      </c>
      <c r="AB25" s="171" t="str">
        <f t="shared" si="2"/>
        <v>CobaltFreeport Kokkola</v>
      </c>
    </row>
    <row r="26" spans="1:28" s="171" customFormat="1" ht="20">
      <c r="A26" s="324" t="s">
        <v>108</v>
      </c>
      <c r="B26" s="315" t="s">
        <v>43</v>
      </c>
      <c r="C26" s="316" t="s">
        <v>105</v>
      </c>
      <c r="D26" s="315" t="s">
        <v>105</v>
      </c>
      <c r="E26" s="315" t="s">
        <v>107</v>
      </c>
      <c r="F26" s="315" t="s">
        <v>108</v>
      </c>
      <c r="G26" s="315" t="s">
        <v>12</v>
      </c>
      <c r="H26" s="317" t="s">
        <v>19202</v>
      </c>
      <c r="I26" s="318" t="s">
        <v>109</v>
      </c>
      <c r="J26" s="318" t="s">
        <v>4625</v>
      </c>
      <c r="K26" s="319" t="s">
        <v>19202</v>
      </c>
      <c r="L26" s="319" t="s">
        <v>19202</v>
      </c>
      <c r="M26" s="319" t="s">
        <v>19202</v>
      </c>
      <c r="N26" s="319" t="s">
        <v>19202</v>
      </c>
      <c r="O26" s="319" t="s">
        <v>19202</v>
      </c>
      <c r="P26" s="320" t="s">
        <v>19204</v>
      </c>
      <c r="Q26" s="321" t="s">
        <v>19202</v>
      </c>
      <c r="R26" s="150" t="str">
        <f ca="1">IF(ISERROR($V26),"",OFFSET('Smelter Look-up'!$C$4,$V26-4,0)&amp;"")</f>
        <v>Umicore Finland Oy</v>
      </c>
      <c r="S26" s="156" t="str">
        <f t="shared" ca="1" si="0"/>
        <v>FI</v>
      </c>
      <c r="T26" s="156" t="str">
        <f ca="1">IF(B26="","",IF(ISERROR(MATCH($J26,SorP!$B$1:$B$6226,0)),"",INDIRECT("'SorP'!$A$"&amp;MATCH($S26&amp;$J26,SorP!C:C,0))))</f>
        <v>FI-07</v>
      </c>
      <c r="U26" s="169"/>
      <c r="V26" s="170">
        <f>IF(C26="",NA(),MATCH($B26&amp;$C26,'Smelter Look-up'!$J:$J,0))</f>
        <v>24</v>
      </c>
      <c r="X26" s="171">
        <f t="shared" si="1"/>
        <v>0</v>
      </c>
      <c r="AB26" s="171" t="str">
        <f t="shared" si="2"/>
        <v>CobaltFreeport Kokkola</v>
      </c>
    </row>
    <row r="27" spans="1:28" s="171" customFormat="1" ht="20">
      <c r="A27" s="324" t="s">
        <v>108</v>
      </c>
      <c r="B27" s="315" t="s">
        <v>43</v>
      </c>
      <c r="C27" s="316" t="s">
        <v>105</v>
      </c>
      <c r="D27" s="315" t="s">
        <v>105</v>
      </c>
      <c r="E27" s="315" t="s">
        <v>107</v>
      </c>
      <c r="F27" s="315" t="s">
        <v>108</v>
      </c>
      <c r="G27" s="315" t="s">
        <v>12</v>
      </c>
      <c r="H27" s="323" t="s">
        <v>19208</v>
      </c>
      <c r="I27" s="318" t="s">
        <v>109</v>
      </c>
      <c r="J27" s="318" t="s">
        <v>19210</v>
      </c>
      <c r="K27" s="319" t="s">
        <v>19202</v>
      </c>
      <c r="L27" s="319" t="s">
        <v>19202</v>
      </c>
      <c r="M27" s="319" t="s">
        <v>19202</v>
      </c>
      <c r="N27" s="319" t="s">
        <v>19202</v>
      </c>
      <c r="O27" s="319" t="s">
        <v>19202</v>
      </c>
      <c r="P27" s="320" t="s">
        <v>19204</v>
      </c>
      <c r="Q27" s="321" t="s">
        <v>19202</v>
      </c>
      <c r="R27" s="150" t="str">
        <f ca="1">IF(ISERROR($V27),"",OFFSET('Smelter Look-up'!$C$4,$V27-4,0)&amp;"")</f>
        <v>Umicore Finland Oy</v>
      </c>
      <c r="S27" s="156" t="str">
        <f t="shared" ca="1" si="0"/>
        <v>FI</v>
      </c>
      <c r="T27" s="156" t="str">
        <f ca="1">IF(B27="","",IF(ISERROR(MATCH($J27,SorP!$B$1:$B$6226,0)),"",INDIRECT("'SorP'!$A$"&amp;MATCH($S27&amp;$J27,SorP!C:C,0))))</f>
        <v/>
      </c>
      <c r="U27" s="169"/>
      <c r="V27" s="170">
        <f>IF(C27="",NA(),MATCH($B27&amp;$C27,'Smelter Look-up'!$J:$J,0))</f>
        <v>24</v>
      </c>
      <c r="X27" s="171">
        <f t="shared" si="1"/>
        <v>0</v>
      </c>
      <c r="AB27" s="171" t="str">
        <f t="shared" si="2"/>
        <v>CobaltFreeport Kokkola</v>
      </c>
    </row>
    <row r="28" spans="1:28" s="171" customFormat="1" ht="27">
      <c r="A28" s="324" t="s">
        <v>19211</v>
      </c>
      <c r="B28" s="315" t="s">
        <v>43</v>
      </c>
      <c r="C28" s="316" t="s">
        <v>19212</v>
      </c>
      <c r="D28" s="315" t="s">
        <v>19212</v>
      </c>
      <c r="E28" s="315" t="s">
        <v>71</v>
      </c>
      <c r="F28" s="315" t="s">
        <v>19211</v>
      </c>
      <c r="G28" s="315" t="s">
        <v>12</v>
      </c>
      <c r="H28" s="317" t="s">
        <v>19202</v>
      </c>
      <c r="I28" s="318" t="s">
        <v>111</v>
      </c>
      <c r="J28" s="318" t="s">
        <v>19213</v>
      </c>
      <c r="K28" s="319" t="s">
        <v>19202</v>
      </c>
      <c r="L28" s="319" t="s">
        <v>19202</v>
      </c>
      <c r="M28" s="319" t="s">
        <v>19202</v>
      </c>
      <c r="N28" s="319" t="s">
        <v>19202</v>
      </c>
      <c r="O28" s="319" t="s">
        <v>19202</v>
      </c>
      <c r="P28" s="320" t="s">
        <v>19204</v>
      </c>
      <c r="Q28" s="321" t="s">
        <v>19202</v>
      </c>
      <c r="R28" s="150" t="str">
        <f ca="1">IF(ISERROR($V28),"",OFFSET('Smelter Look-up'!$C$4,$V28-4,0)&amp;"")</f>
        <v/>
      </c>
      <c r="S28" s="156" t="str">
        <f t="shared" ca="1" si="0"/>
        <v>CN</v>
      </c>
      <c r="T28" s="156" t="str">
        <f ca="1">IF(B28="","",IF(ISERROR(MATCH($J28,SorP!$B$1:$B$6226,0)),"",INDIRECT("'SorP'!$A$"&amp;MATCH($S28&amp;$J28,SorP!C:C,0))))</f>
        <v/>
      </c>
      <c r="U28" s="169"/>
      <c r="V28" s="170" t="e">
        <f>IF(C28="",NA(),MATCH($B28&amp;$C28,'Smelter Look-up'!$J:$J,0))</f>
        <v>#N/A</v>
      </c>
      <c r="X28" s="171">
        <f t="shared" si="1"/>
        <v>0</v>
      </c>
      <c r="AB28" s="171" t="str">
        <f t="shared" si="2"/>
        <v>CobaltGangzhou Yi Hao Umicore Industry Co.</v>
      </c>
    </row>
    <row r="29" spans="1:28" s="171" customFormat="1" ht="27">
      <c r="A29" s="324" t="s">
        <v>19211</v>
      </c>
      <c r="B29" s="315" t="s">
        <v>43</v>
      </c>
      <c r="C29" s="316" t="s">
        <v>19212</v>
      </c>
      <c r="D29" s="315" t="s">
        <v>19212</v>
      </c>
      <c r="E29" s="315" t="s">
        <v>71</v>
      </c>
      <c r="F29" s="315" t="s">
        <v>19211</v>
      </c>
      <c r="G29" s="315" t="s">
        <v>12</v>
      </c>
      <c r="H29" s="317" t="s">
        <v>19202</v>
      </c>
      <c r="I29" s="318" t="s">
        <v>111</v>
      </c>
      <c r="J29" s="318" t="s">
        <v>112</v>
      </c>
      <c r="K29" s="319" t="s">
        <v>19202</v>
      </c>
      <c r="L29" s="319" t="s">
        <v>19202</v>
      </c>
      <c r="M29" s="319" t="s">
        <v>19202</v>
      </c>
      <c r="N29" s="319" t="s">
        <v>19202</v>
      </c>
      <c r="O29" s="319" t="s">
        <v>19202</v>
      </c>
      <c r="P29" s="320" t="s">
        <v>19204</v>
      </c>
      <c r="Q29" s="321" t="s">
        <v>19202</v>
      </c>
      <c r="R29" s="150" t="str">
        <f ca="1">IF(ISERROR($V29),"",OFFSET('Smelter Look-up'!$C$4,$V29-4,0)&amp;"")</f>
        <v/>
      </c>
      <c r="S29" s="156" t="str">
        <f t="shared" ca="1" si="0"/>
        <v>CN</v>
      </c>
      <c r="T29" s="156" t="str">
        <f ca="1">IF(B29="","",IF(ISERROR(MATCH($J29,SorP!$B$1:$B$6226,0)),"",INDIRECT("'SorP'!$A$"&amp;MATCH($S29&amp;$J29,SorP!C:C,0))))</f>
        <v>CN-JX</v>
      </c>
      <c r="U29" s="169"/>
      <c r="V29" s="170" t="e">
        <f>IF(C29="",NA(),MATCH($B29&amp;$C29,'Smelter Look-up'!$J:$J,0))</f>
        <v>#N/A</v>
      </c>
      <c r="X29" s="171">
        <f t="shared" si="1"/>
        <v>0</v>
      </c>
      <c r="AB29" s="171" t="str">
        <f t="shared" si="2"/>
        <v>CobaltGangzhou Yi Hao Umicore Industry Co.</v>
      </c>
    </row>
    <row r="30" spans="1:28" s="171" customFormat="1" ht="27">
      <c r="A30" s="324" t="s">
        <v>19211</v>
      </c>
      <c r="B30" s="315" t="s">
        <v>43</v>
      </c>
      <c r="C30" s="316" t="s">
        <v>19212</v>
      </c>
      <c r="D30" s="315" t="s">
        <v>19212</v>
      </c>
      <c r="E30" s="315" t="s">
        <v>71</v>
      </c>
      <c r="F30" s="315" t="s">
        <v>19211</v>
      </c>
      <c r="G30" s="315" t="s">
        <v>12</v>
      </c>
      <c r="H30" s="323" t="s">
        <v>19208</v>
      </c>
      <c r="I30" s="318" t="s">
        <v>111</v>
      </c>
      <c r="J30" s="318" t="s">
        <v>19213</v>
      </c>
      <c r="K30" s="319" t="s">
        <v>19202</v>
      </c>
      <c r="L30" s="319" t="s">
        <v>19202</v>
      </c>
      <c r="M30" s="319" t="s">
        <v>19202</v>
      </c>
      <c r="N30" s="319" t="s">
        <v>19202</v>
      </c>
      <c r="O30" s="319" t="s">
        <v>19202</v>
      </c>
      <c r="P30" s="320" t="s">
        <v>19204</v>
      </c>
      <c r="Q30" s="321" t="s">
        <v>19202</v>
      </c>
      <c r="R30" s="150" t="str">
        <f ca="1">IF(ISERROR($V30),"",OFFSET('Smelter Look-up'!$C$4,$V30-4,0)&amp;"")</f>
        <v/>
      </c>
      <c r="S30" s="156" t="str">
        <f t="shared" ca="1" si="0"/>
        <v>CN</v>
      </c>
      <c r="T30" s="156" t="str">
        <f ca="1">IF(B30="","",IF(ISERROR(MATCH($J30,SorP!$B$1:$B$6226,0)),"",INDIRECT("'SorP'!$A$"&amp;MATCH($S30&amp;$J30,SorP!C:C,0))))</f>
        <v/>
      </c>
      <c r="U30" s="169"/>
      <c r="V30" s="170" t="e">
        <f>IF(C30="",NA(),MATCH($B30&amp;$C30,'Smelter Look-up'!$J:$J,0))</f>
        <v>#N/A</v>
      </c>
      <c r="X30" s="171">
        <f t="shared" si="1"/>
        <v>0</v>
      </c>
      <c r="AB30" s="171" t="str">
        <f t="shared" si="2"/>
        <v>CobaltGangzhou Yi Hao Umicore Industry Co.</v>
      </c>
    </row>
    <row r="31" spans="1:28" s="171" customFormat="1" ht="27">
      <c r="A31" s="324" t="s">
        <v>19211</v>
      </c>
      <c r="B31" s="315" t="s">
        <v>43</v>
      </c>
      <c r="C31" s="316" t="s">
        <v>19212</v>
      </c>
      <c r="D31" s="315" t="s">
        <v>19212</v>
      </c>
      <c r="E31" s="315" t="s">
        <v>71</v>
      </c>
      <c r="F31" s="315" t="s">
        <v>19211</v>
      </c>
      <c r="G31" s="315" t="s">
        <v>12</v>
      </c>
      <c r="H31" s="317" t="s">
        <v>111</v>
      </c>
      <c r="I31" s="318" t="s">
        <v>111</v>
      </c>
      <c r="J31" s="318" t="s">
        <v>112</v>
      </c>
      <c r="K31" s="319" t="s">
        <v>19202</v>
      </c>
      <c r="L31" s="319" t="s">
        <v>19202</v>
      </c>
      <c r="M31" s="319" t="s">
        <v>19202</v>
      </c>
      <c r="N31" s="319" t="s">
        <v>19202</v>
      </c>
      <c r="O31" s="319" t="s">
        <v>19202</v>
      </c>
      <c r="P31" s="320" t="s">
        <v>19204</v>
      </c>
      <c r="Q31" s="321" t="s">
        <v>19202</v>
      </c>
      <c r="R31" s="150" t="str">
        <f ca="1">IF(ISERROR($V31),"",OFFSET('Smelter Look-up'!$C$4,$V31-4,0)&amp;"")</f>
        <v/>
      </c>
      <c r="S31" s="156" t="str">
        <f t="shared" ca="1" si="0"/>
        <v>CN</v>
      </c>
      <c r="T31" s="156" t="str">
        <f ca="1">IF(B31="","",IF(ISERROR(MATCH($J31,SorP!$B$1:$B$6226,0)),"",INDIRECT("'SorP'!$A$"&amp;MATCH($S31&amp;$J31,SorP!C:C,0))))</f>
        <v>CN-JX</v>
      </c>
      <c r="U31" s="169"/>
      <c r="V31" s="170" t="e">
        <f>IF(C31="",NA(),MATCH($B31&amp;$C31,'Smelter Look-up'!$J:$J,0))</f>
        <v>#N/A</v>
      </c>
      <c r="X31" s="171">
        <f t="shared" si="1"/>
        <v>0</v>
      </c>
      <c r="AB31" s="171" t="str">
        <f t="shared" si="2"/>
        <v>CobaltGangzhou Yi Hao Umicore Industry Co.</v>
      </c>
    </row>
    <row r="32" spans="1:28" s="171" customFormat="1" ht="27">
      <c r="A32" s="324" t="s">
        <v>114</v>
      </c>
      <c r="B32" s="315" t="s">
        <v>43</v>
      </c>
      <c r="C32" s="316" t="s">
        <v>113</v>
      </c>
      <c r="D32" s="315" t="s">
        <v>113</v>
      </c>
      <c r="E32" s="315" t="s">
        <v>71</v>
      </c>
      <c r="F32" s="315" t="s">
        <v>114</v>
      </c>
      <c r="G32" s="315" t="s">
        <v>12</v>
      </c>
      <c r="H32" s="317" t="s">
        <v>19202</v>
      </c>
      <c r="I32" s="318" t="s">
        <v>111</v>
      </c>
      <c r="J32" s="318" t="s">
        <v>112</v>
      </c>
      <c r="K32" s="319" t="s">
        <v>19202</v>
      </c>
      <c r="L32" s="319" t="s">
        <v>19202</v>
      </c>
      <c r="M32" s="319" t="s">
        <v>19202</v>
      </c>
      <c r="N32" s="319" t="s">
        <v>19202</v>
      </c>
      <c r="O32" s="319" t="s">
        <v>19202</v>
      </c>
      <c r="P32" s="320" t="s">
        <v>19204</v>
      </c>
      <c r="Q32" s="321" t="s">
        <v>19202</v>
      </c>
      <c r="R32" s="150" t="str">
        <f ca="1">IF(ISERROR($V32),"",OFFSET('Smelter Look-up'!$C$4,$V32-4,0)&amp;"")</f>
        <v>Ganzhou Highpower Technology Co., Ltd.</v>
      </c>
      <c r="S32" s="156" t="str">
        <f t="shared" ca="1" si="0"/>
        <v>CN</v>
      </c>
      <c r="T32" s="156" t="str">
        <f ca="1">IF(B32="","",IF(ISERROR(MATCH($J32,SorP!$B$1:$B$6226,0)),"",INDIRECT("'SorP'!$A$"&amp;MATCH($S32&amp;$J32,SorP!C:C,0))))</f>
        <v>CN-JX</v>
      </c>
      <c r="U32" s="169"/>
      <c r="V32" s="170">
        <f>IF(C32="",NA(),MATCH($B32&amp;$C32,'Smelter Look-up'!$J:$J,0))</f>
        <v>28</v>
      </c>
      <c r="X32" s="171">
        <f t="shared" si="1"/>
        <v>0</v>
      </c>
      <c r="AB32" s="171" t="str">
        <f t="shared" si="2"/>
        <v>CobaltGanzhou Highpower Technology Co., Ltd.</v>
      </c>
    </row>
    <row r="33" spans="1:28" s="171" customFormat="1" ht="27">
      <c r="A33" s="324" t="s">
        <v>114</v>
      </c>
      <c r="B33" s="315" t="s">
        <v>43</v>
      </c>
      <c r="C33" s="316" t="s">
        <v>113</v>
      </c>
      <c r="D33" s="315" t="s">
        <v>113</v>
      </c>
      <c r="E33" s="315" t="s">
        <v>71</v>
      </c>
      <c r="F33" s="315" t="s">
        <v>114</v>
      </c>
      <c r="G33" s="315" t="s">
        <v>12</v>
      </c>
      <c r="H33" s="317" t="s">
        <v>111</v>
      </c>
      <c r="I33" s="318" t="s">
        <v>111</v>
      </c>
      <c r="J33" s="318" t="s">
        <v>112</v>
      </c>
      <c r="K33" s="319" t="s">
        <v>19202</v>
      </c>
      <c r="L33" s="319" t="s">
        <v>19202</v>
      </c>
      <c r="M33" s="319" t="s">
        <v>19202</v>
      </c>
      <c r="N33" s="319" t="s">
        <v>19202</v>
      </c>
      <c r="O33" s="319" t="s">
        <v>19202</v>
      </c>
      <c r="P33" s="320" t="s">
        <v>19204</v>
      </c>
      <c r="Q33" s="321" t="s">
        <v>19202</v>
      </c>
      <c r="R33" s="150" t="str">
        <f ca="1">IF(ISERROR($V33),"",OFFSET('Smelter Look-up'!$C$4,$V33-4,0)&amp;"")</f>
        <v>Ganzhou Highpower Technology Co., Ltd.</v>
      </c>
      <c r="S33" s="156" t="str">
        <f t="shared" ca="1" si="0"/>
        <v>CN</v>
      </c>
      <c r="T33" s="156" t="str">
        <f ca="1">IF(B33="","",IF(ISERROR(MATCH($J33,SorP!$B$1:$B$6226,0)),"",INDIRECT("'SorP'!$A$"&amp;MATCH($S33&amp;$J33,SorP!C:C,0))))</f>
        <v>CN-JX</v>
      </c>
      <c r="U33" s="169"/>
      <c r="V33" s="170">
        <f>IF(C33="",NA(),MATCH($B33&amp;$C33,'Smelter Look-up'!$J:$J,0))</f>
        <v>28</v>
      </c>
      <c r="X33" s="171">
        <f t="shared" si="1"/>
        <v>0</v>
      </c>
      <c r="AB33" s="171" t="str">
        <f t="shared" si="2"/>
        <v>CobaltGanzhou Highpower Technology Co., Ltd.</v>
      </c>
    </row>
    <row r="34" spans="1:28" s="171" customFormat="1" ht="27">
      <c r="A34" s="324" t="s">
        <v>116</v>
      </c>
      <c r="B34" s="315" t="s">
        <v>43</v>
      </c>
      <c r="C34" s="316" t="s">
        <v>115</v>
      </c>
      <c r="D34" s="315" t="s">
        <v>115</v>
      </c>
      <c r="E34" s="315" t="s">
        <v>71</v>
      </c>
      <c r="F34" s="315" t="s">
        <v>116</v>
      </c>
      <c r="G34" s="315" t="s">
        <v>12</v>
      </c>
      <c r="H34" s="317" t="s">
        <v>19202</v>
      </c>
      <c r="I34" s="318" t="s">
        <v>111</v>
      </c>
      <c r="J34" s="318" t="s">
        <v>112</v>
      </c>
      <c r="K34" s="319" t="s">
        <v>19202</v>
      </c>
      <c r="L34" s="319" t="s">
        <v>19202</v>
      </c>
      <c r="M34" s="319" t="s">
        <v>19202</v>
      </c>
      <c r="N34" s="319" t="s">
        <v>19202</v>
      </c>
      <c r="O34" s="319" t="s">
        <v>19202</v>
      </c>
      <c r="P34" s="320" t="s">
        <v>19204</v>
      </c>
      <c r="Q34" s="321" t="s">
        <v>19202</v>
      </c>
      <c r="R34" s="150" t="str">
        <f ca="1">IF(ISERROR($V34),"",OFFSET('Smelter Look-up'!$C$4,$V34-4,0)&amp;"")</f>
        <v>Ganzhou Tengyuan Cobalt New Material Co., Ltd.</v>
      </c>
      <c r="S34" s="156" t="str">
        <f t="shared" ca="1" si="0"/>
        <v>CN</v>
      </c>
      <c r="T34" s="156" t="str">
        <f ca="1">IF(B34="","",IF(ISERROR(MATCH($J34,SorP!$B$1:$B$6226,0)),"",INDIRECT("'SorP'!$A$"&amp;MATCH($S34&amp;$J34,SorP!C:C,0))))</f>
        <v>CN-JX</v>
      </c>
      <c r="U34" s="169"/>
      <c r="V34" s="170">
        <f>IF(C34="",NA(),MATCH($B34&amp;$C34,'Smelter Look-up'!$J:$J,0))</f>
        <v>29</v>
      </c>
      <c r="X34" s="171">
        <f t="shared" si="1"/>
        <v>0</v>
      </c>
      <c r="AB34" s="171" t="str">
        <f t="shared" si="2"/>
        <v>CobaltGanzhou Tengyuan Cobalt New Material Co., Ltd.</v>
      </c>
    </row>
    <row r="35" spans="1:28" s="171" customFormat="1" ht="27">
      <c r="A35" s="324" t="s">
        <v>116</v>
      </c>
      <c r="B35" s="315" t="s">
        <v>43</v>
      </c>
      <c r="C35" s="316" t="s">
        <v>115</v>
      </c>
      <c r="D35" s="315" t="s">
        <v>115</v>
      </c>
      <c r="E35" s="315" t="s">
        <v>71</v>
      </c>
      <c r="F35" s="315" t="s">
        <v>116</v>
      </c>
      <c r="G35" s="315" t="s">
        <v>12</v>
      </c>
      <c r="H35" s="323" t="s">
        <v>19208</v>
      </c>
      <c r="I35" s="318" t="s">
        <v>111</v>
      </c>
      <c r="J35" s="318" t="s">
        <v>112</v>
      </c>
      <c r="K35" s="319" t="s">
        <v>19202</v>
      </c>
      <c r="L35" s="319" t="s">
        <v>19202</v>
      </c>
      <c r="M35" s="319" t="s">
        <v>19202</v>
      </c>
      <c r="N35" s="319" t="s">
        <v>19202</v>
      </c>
      <c r="O35" s="319" t="s">
        <v>19202</v>
      </c>
      <c r="P35" s="320" t="s">
        <v>19204</v>
      </c>
      <c r="Q35" s="321" t="s">
        <v>19202</v>
      </c>
      <c r="R35" s="150" t="str">
        <f ca="1">IF(ISERROR($V35),"",OFFSET('Smelter Look-up'!$C$4,$V35-4,0)&amp;"")</f>
        <v>Ganzhou Tengyuan Cobalt New Material Co., Ltd.</v>
      </c>
      <c r="S35" s="156" t="str">
        <f t="shared" ca="1" si="0"/>
        <v>CN</v>
      </c>
      <c r="T35" s="156" t="str">
        <f ca="1">IF(B35="","",IF(ISERROR(MATCH($J35,SorP!$B$1:$B$6226,0)),"",INDIRECT("'SorP'!$A$"&amp;MATCH($S35&amp;$J35,SorP!C:C,0))))</f>
        <v>CN-JX</v>
      </c>
      <c r="U35" s="169"/>
      <c r="V35" s="170">
        <f>IF(C35="",NA(),MATCH($B35&amp;$C35,'Smelter Look-up'!$J:$J,0))</f>
        <v>29</v>
      </c>
      <c r="X35" s="171">
        <f t="shared" si="1"/>
        <v>0</v>
      </c>
      <c r="AB35" s="171" t="str">
        <f t="shared" si="2"/>
        <v>CobaltGanzhou Tengyuan Cobalt New Material Co., Ltd.</v>
      </c>
    </row>
    <row r="36" spans="1:28" s="171" customFormat="1" ht="27">
      <c r="A36" s="324" t="s">
        <v>116</v>
      </c>
      <c r="B36" s="315" t="s">
        <v>43</v>
      </c>
      <c r="C36" s="316" t="s">
        <v>115</v>
      </c>
      <c r="D36" s="315" t="s">
        <v>115</v>
      </c>
      <c r="E36" s="315" t="s">
        <v>71</v>
      </c>
      <c r="F36" s="315" t="s">
        <v>116</v>
      </c>
      <c r="G36" s="315" t="s">
        <v>12</v>
      </c>
      <c r="H36" s="317" t="s">
        <v>111</v>
      </c>
      <c r="I36" s="318" t="s">
        <v>111</v>
      </c>
      <c r="J36" s="318" t="s">
        <v>112</v>
      </c>
      <c r="K36" s="319" t="s">
        <v>19202</v>
      </c>
      <c r="L36" s="319" t="s">
        <v>19202</v>
      </c>
      <c r="M36" s="319" t="s">
        <v>19202</v>
      </c>
      <c r="N36" s="319" t="s">
        <v>19202</v>
      </c>
      <c r="O36" s="319" t="s">
        <v>19202</v>
      </c>
      <c r="P36" s="320" t="s">
        <v>19204</v>
      </c>
      <c r="Q36" s="321" t="s">
        <v>19202</v>
      </c>
      <c r="R36" s="150" t="str">
        <f ca="1">IF(ISERROR($V36),"",OFFSET('Smelter Look-up'!$C$4,$V36-4,0)&amp;"")</f>
        <v>Ganzhou Tengyuan Cobalt New Material Co., Ltd.</v>
      </c>
      <c r="S36" s="156" t="str">
        <f t="shared" ca="1" si="0"/>
        <v>CN</v>
      </c>
      <c r="T36" s="156" t="str">
        <f ca="1">IF(B36="","",IF(ISERROR(MATCH($J36,SorP!$B$1:$B$6226,0)),"",INDIRECT("'SorP'!$A$"&amp;MATCH($S36&amp;$J36,SorP!C:C,0))))</f>
        <v>CN-JX</v>
      </c>
      <c r="U36" s="169"/>
      <c r="V36" s="170">
        <f>IF(C36="",NA(),MATCH($B36&amp;$C36,'Smelter Look-up'!$J:$J,0))</f>
        <v>29</v>
      </c>
      <c r="X36" s="171">
        <f t="shared" si="1"/>
        <v>0</v>
      </c>
      <c r="AB36" s="171" t="str">
        <f t="shared" si="2"/>
        <v>CobaltGanzhou Tengyuan Cobalt New Material Co., Ltd.</v>
      </c>
    </row>
    <row r="37" spans="1:28" s="171" customFormat="1" ht="27">
      <c r="A37" s="324" t="s">
        <v>118</v>
      </c>
      <c r="B37" s="315" t="s">
        <v>43</v>
      </c>
      <c r="C37" s="316" t="s">
        <v>19214</v>
      </c>
      <c r="D37" s="315" t="s">
        <v>19214</v>
      </c>
      <c r="E37" s="315" t="s">
        <v>71</v>
      </c>
      <c r="F37" s="315" t="s">
        <v>118</v>
      </c>
      <c r="G37" s="315" t="s">
        <v>12</v>
      </c>
      <c r="H37" s="317" t="s">
        <v>19202</v>
      </c>
      <c r="I37" s="318" t="s">
        <v>119</v>
      </c>
      <c r="J37" s="318" t="s">
        <v>19215</v>
      </c>
      <c r="K37" s="319" t="s">
        <v>19202</v>
      </c>
      <c r="L37" s="319" t="s">
        <v>19202</v>
      </c>
      <c r="M37" s="319" t="s">
        <v>19202</v>
      </c>
      <c r="N37" s="319" t="s">
        <v>19202</v>
      </c>
      <c r="O37" s="319" t="s">
        <v>19202</v>
      </c>
      <c r="P37" s="320" t="s">
        <v>19204</v>
      </c>
      <c r="Q37" s="321" t="s">
        <v>19202</v>
      </c>
      <c r="R37" s="150" t="str">
        <f ca="1">IF(ISERROR($V37),"",OFFSET('Smelter Look-up'!$C$4,$V37-4,0)&amp;"")</f>
        <v/>
      </c>
      <c r="S37" s="156" t="str">
        <f t="shared" ca="1" si="0"/>
        <v>CN</v>
      </c>
      <c r="T37" s="156" t="str">
        <f ca="1">IF(B37="","",IF(ISERROR(MATCH($J37,SorP!$B$1:$B$6226,0)),"",INDIRECT("'SorP'!$A$"&amp;MATCH($S37&amp;$J37,SorP!C:C,0))))</f>
        <v/>
      </c>
      <c r="U37" s="169"/>
      <c r="V37" s="170" t="e">
        <f>IF(C37="",NA(),MATCH($B37&amp;$C37,'Smelter Look-up'!$J:$J,0))</f>
        <v>#N/A</v>
      </c>
      <c r="X37" s="171">
        <f t="shared" si="1"/>
        <v>0</v>
      </c>
      <c r="AB37" s="171" t="str">
        <f t="shared" si="2"/>
        <v>CobaltGem (Jiangsu) Cobalt Industrial Co., Ltd.</v>
      </c>
    </row>
    <row r="38" spans="1:28" s="171" customFormat="1" ht="27">
      <c r="A38" s="324" t="s">
        <v>118</v>
      </c>
      <c r="B38" s="315" t="s">
        <v>43</v>
      </c>
      <c r="C38" s="316" t="s">
        <v>19214</v>
      </c>
      <c r="D38" s="315" t="s">
        <v>19214</v>
      </c>
      <c r="E38" s="315" t="s">
        <v>71</v>
      </c>
      <c r="F38" s="315" t="s">
        <v>118</v>
      </c>
      <c r="G38" s="315" t="s">
        <v>12</v>
      </c>
      <c r="H38" s="323" t="s">
        <v>19208</v>
      </c>
      <c r="I38" s="318" t="s">
        <v>119</v>
      </c>
      <c r="J38" s="318" t="s">
        <v>19213</v>
      </c>
      <c r="K38" s="319" t="s">
        <v>19202</v>
      </c>
      <c r="L38" s="319" t="s">
        <v>19202</v>
      </c>
      <c r="M38" s="319" t="s">
        <v>19202</v>
      </c>
      <c r="N38" s="319" t="s">
        <v>19202</v>
      </c>
      <c r="O38" s="319" t="s">
        <v>19202</v>
      </c>
      <c r="P38" s="320" t="s">
        <v>19204</v>
      </c>
      <c r="Q38" s="321" t="s">
        <v>19202</v>
      </c>
      <c r="R38" s="150" t="str">
        <f ca="1">IF(ISERROR($V38),"",OFFSET('Smelter Look-up'!$C$4,$V38-4,0)&amp;"")</f>
        <v/>
      </c>
      <c r="S38" s="156" t="str">
        <f t="shared" ca="1" si="0"/>
        <v>CN</v>
      </c>
      <c r="T38" s="156" t="str">
        <f ca="1">IF(B38="","",IF(ISERROR(MATCH($J38,SorP!$B$1:$B$6226,0)),"",INDIRECT("'SorP'!$A$"&amp;MATCH($S38&amp;$J38,SorP!C:C,0))))</f>
        <v/>
      </c>
      <c r="U38" s="169"/>
      <c r="V38" s="170" t="e">
        <f>IF(C38="",NA(),MATCH($B38&amp;$C38,'Smelter Look-up'!$J:$J,0))</f>
        <v>#N/A</v>
      </c>
      <c r="X38" s="171">
        <f t="shared" si="1"/>
        <v>0</v>
      </c>
      <c r="AB38" s="171" t="str">
        <f t="shared" si="2"/>
        <v>CobaltGem (Jiangsu) Cobalt Industrial Co., Ltd.</v>
      </c>
    </row>
    <row r="39" spans="1:28" s="171" customFormat="1" ht="27">
      <c r="A39" s="324" t="s">
        <v>118</v>
      </c>
      <c r="B39" s="315" t="s">
        <v>43</v>
      </c>
      <c r="C39" s="316" t="s">
        <v>117</v>
      </c>
      <c r="D39" s="315" t="s">
        <v>117</v>
      </c>
      <c r="E39" s="315" t="s">
        <v>71</v>
      </c>
      <c r="F39" s="315" t="s">
        <v>118</v>
      </c>
      <c r="G39" s="315" t="s">
        <v>12</v>
      </c>
      <c r="H39" s="317" t="s">
        <v>19202</v>
      </c>
      <c r="I39" s="318" t="s">
        <v>119</v>
      </c>
      <c r="J39" s="318" t="s">
        <v>120</v>
      </c>
      <c r="K39" s="319" t="s">
        <v>19202</v>
      </c>
      <c r="L39" s="319" t="s">
        <v>19202</v>
      </c>
      <c r="M39" s="319" t="s">
        <v>19202</v>
      </c>
      <c r="N39" s="319" t="s">
        <v>19202</v>
      </c>
      <c r="O39" s="319" t="s">
        <v>19202</v>
      </c>
      <c r="P39" s="320" t="s">
        <v>19204</v>
      </c>
      <c r="Q39" s="321" t="s">
        <v>19202</v>
      </c>
      <c r="R39" s="150" t="str">
        <f ca="1">IF(ISERROR($V39),"",OFFSET('Smelter Look-up'!$C$4,$V39-4,0)&amp;"")</f>
        <v>Gem (Jiangsu) Cobalt Industry Co., Ltd.</v>
      </c>
      <c r="S39" s="156" t="str">
        <f t="shared" ca="1" si="0"/>
        <v>CN</v>
      </c>
      <c r="T39" s="156" t="str">
        <f ca="1">IF(B39="","",IF(ISERROR(MATCH($J39,SorP!$B$1:$B$6226,0)),"",INDIRECT("'SorP'!$A$"&amp;MATCH($S39&amp;$J39,SorP!C:C,0))))</f>
        <v>CN-JS</v>
      </c>
      <c r="U39" s="169"/>
      <c r="V39" s="170">
        <f>IF(C39="",NA(),MATCH($B39&amp;$C39,'Smelter Look-up'!$J:$J,0))</f>
        <v>30</v>
      </c>
      <c r="X39" s="171">
        <f t="shared" si="1"/>
        <v>0</v>
      </c>
      <c r="AB39" s="171" t="str">
        <f t="shared" si="2"/>
        <v>CobaltGem (Jiangsu) Cobalt Industry Co., Ltd.</v>
      </c>
    </row>
    <row r="40" spans="1:28" s="171" customFormat="1" ht="27">
      <c r="A40" s="324" t="s">
        <v>118</v>
      </c>
      <c r="B40" s="315" t="s">
        <v>43</v>
      </c>
      <c r="C40" s="316" t="s">
        <v>168</v>
      </c>
      <c r="D40" s="315" t="s">
        <v>117</v>
      </c>
      <c r="E40" s="315" t="s">
        <v>71</v>
      </c>
      <c r="F40" s="315" t="s">
        <v>118</v>
      </c>
      <c r="G40" s="315" t="s">
        <v>12</v>
      </c>
      <c r="H40" s="317" t="s">
        <v>19202</v>
      </c>
      <c r="I40" s="318" t="s">
        <v>119</v>
      </c>
      <c r="J40" s="318" t="s">
        <v>120</v>
      </c>
      <c r="K40" s="319" t="s">
        <v>19202</v>
      </c>
      <c r="L40" s="319" t="s">
        <v>19202</v>
      </c>
      <c r="M40" s="319" t="s">
        <v>19202</v>
      </c>
      <c r="N40" s="319" t="s">
        <v>19202</v>
      </c>
      <c r="O40" s="319" t="s">
        <v>19202</v>
      </c>
      <c r="P40" s="320" t="s">
        <v>19204</v>
      </c>
      <c r="Q40" s="321" t="s">
        <v>19202</v>
      </c>
      <c r="R40" s="150" t="str">
        <f ca="1">IF(ISERROR($V40),"",OFFSET('Smelter Look-up'!$C$4,$V40-4,0)&amp;"")</f>
        <v>Gem (Jiangsu) Cobalt Industry Co., Ltd.</v>
      </c>
      <c r="S40" s="156" t="str">
        <f t="shared" ca="1" si="0"/>
        <v>CN</v>
      </c>
      <c r="T40" s="156" t="str">
        <f ca="1">IF(B40="","",IF(ISERROR(MATCH($J40,SorP!$B$1:$B$6226,0)),"",INDIRECT("'SorP'!$A$"&amp;MATCH($S40&amp;$J40,SorP!C:C,0))))</f>
        <v>CN-JS</v>
      </c>
      <c r="U40" s="169"/>
      <c r="V40" s="170">
        <f>IF(C40="",NA(),MATCH($B40&amp;$C40,'Smelter Look-up'!$J:$J,0))</f>
        <v>56</v>
      </c>
      <c r="X40" s="171">
        <f t="shared" si="1"/>
        <v>0</v>
      </c>
      <c r="AB40" s="171" t="str">
        <f t="shared" si="2"/>
        <v>CobaltJiangsu KLK Cobalt Nickel Metal Co., Ltd.</v>
      </c>
    </row>
    <row r="41" spans="1:28" s="171" customFormat="1" ht="27">
      <c r="A41" s="324" t="s">
        <v>118</v>
      </c>
      <c r="B41" s="315" t="s">
        <v>43</v>
      </c>
      <c r="C41" s="316" t="s">
        <v>168</v>
      </c>
      <c r="D41" s="315" t="s">
        <v>117</v>
      </c>
      <c r="E41" s="315" t="s">
        <v>71</v>
      </c>
      <c r="F41" s="315" t="s">
        <v>118</v>
      </c>
      <c r="G41" s="315" t="s">
        <v>12</v>
      </c>
      <c r="H41" s="317" t="s">
        <v>119</v>
      </c>
      <c r="I41" s="318" t="s">
        <v>119</v>
      </c>
      <c r="J41" s="318" t="s">
        <v>120</v>
      </c>
      <c r="K41" s="319" t="s">
        <v>19202</v>
      </c>
      <c r="L41" s="319" t="s">
        <v>19202</v>
      </c>
      <c r="M41" s="319" t="s">
        <v>19202</v>
      </c>
      <c r="N41" s="319" t="s">
        <v>19202</v>
      </c>
      <c r="O41" s="319" t="s">
        <v>19202</v>
      </c>
      <c r="P41" s="320" t="s">
        <v>19204</v>
      </c>
      <c r="Q41" s="321" t="s">
        <v>19202</v>
      </c>
      <c r="R41" s="150" t="str">
        <f ca="1">IF(ISERROR($V41),"",OFFSET('Smelter Look-up'!$C$4,$V41-4,0)&amp;"")</f>
        <v>Gem (Jiangsu) Cobalt Industry Co., Ltd.</v>
      </c>
      <c r="S41" s="156" t="str">
        <f t="shared" ca="1" si="0"/>
        <v>CN</v>
      </c>
      <c r="T41" s="156" t="str">
        <f ca="1">IF(B41="","",IF(ISERROR(MATCH($J41,SorP!$B$1:$B$6226,0)),"",INDIRECT("'SorP'!$A$"&amp;MATCH($S41&amp;$J41,SorP!C:C,0))))</f>
        <v>CN-JS</v>
      </c>
      <c r="U41" s="169"/>
      <c r="V41" s="170">
        <f>IF(C41="",NA(),MATCH($B41&amp;$C41,'Smelter Look-up'!$J:$J,0))</f>
        <v>56</v>
      </c>
      <c r="X41" s="171">
        <f t="shared" si="1"/>
        <v>0</v>
      </c>
      <c r="AB41" s="171" t="str">
        <f t="shared" si="2"/>
        <v>CobaltJiangsu KLK Cobalt Nickel Metal Co., Ltd.</v>
      </c>
    </row>
    <row r="42" spans="1:28" s="171" customFormat="1" ht="20">
      <c r="A42" s="324" t="s">
        <v>123</v>
      </c>
      <c r="B42" s="315" t="s">
        <v>43</v>
      </c>
      <c r="C42" s="316" t="s">
        <v>121</v>
      </c>
      <c r="D42" s="315" t="s">
        <v>121</v>
      </c>
      <c r="E42" s="315" t="s">
        <v>122</v>
      </c>
      <c r="F42" s="315" t="s">
        <v>123</v>
      </c>
      <c r="G42" s="315" t="s">
        <v>12</v>
      </c>
      <c r="H42" s="317" t="s">
        <v>19202</v>
      </c>
      <c r="I42" s="318" t="s">
        <v>124</v>
      </c>
      <c r="J42" s="318" t="s">
        <v>19216</v>
      </c>
      <c r="K42" s="319" t="s">
        <v>19202</v>
      </c>
      <c r="L42" s="319" t="s">
        <v>19202</v>
      </c>
      <c r="M42" s="319" t="s">
        <v>19202</v>
      </c>
      <c r="N42" s="319" t="s">
        <v>19202</v>
      </c>
      <c r="O42" s="319" t="s">
        <v>19202</v>
      </c>
      <c r="P42" s="320" t="s">
        <v>19204</v>
      </c>
      <c r="Q42" s="321" t="s">
        <v>19202</v>
      </c>
      <c r="R42" s="150" t="str">
        <f ca="1">IF(ISERROR($V42),"",OFFSET('Smelter Look-up'!$C$4,$V42-4,0)&amp;"")</f>
        <v>Glencore Nikkelverk Refinery</v>
      </c>
      <c r="S42" s="156" t="str">
        <f t="shared" ca="1" si="0"/>
        <v>NO</v>
      </c>
      <c r="T42" s="156" t="str">
        <f ca="1">IF(B42="","",IF(ISERROR(MATCH($J42,SorP!$B$1:$B$6226,0)),"",INDIRECT("'SorP'!$A$"&amp;MATCH($S42&amp;$J42,SorP!C:C,0))))</f>
        <v/>
      </c>
      <c r="U42" s="169"/>
      <c r="V42" s="170">
        <f>IF(C42="",NA(),MATCH($B42&amp;$C42,'Smelter Look-up'!$J:$J,0))</f>
        <v>31</v>
      </c>
      <c r="X42" s="171">
        <f t="shared" si="1"/>
        <v>0</v>
      </c>
      <c r="AB42" s="171" t="str">
        <f t="shared" si="2"/>
        <v>CobaltGlencore Nikkelverk Refinery</v>
      </c>
    </row>
    <row r="43" spans="1:28" s="171" customFormat="1" ht="20">
      <c r="A43" s="324" t="s">
        <v>123</v>
      </c>
      <c r="B43" s="315" t="s">
        <v>43</v>
      </c>
      <c r="C43" s="316" t="s">
        <v>121</v>
      </c>
      <c r="D43" s="315" t="s">
        <v>121</v>
      </c>
      <c r="E43" s="315" t="s">
        <v>122</v>
      </c>
      <c r="F43" s="315" t="s">
        <v>123</v>
      </c>
      <c r="G43" s="315" t="s">
        <v>12</v>
      </c>
      <c r="H43" s="317" t="s">
        <v>124</v>
      </c>
      <c r="I43" s="318" t="s">
        <v>124</v>
      </c>
      <c r="J43" s="318" t="s">
        <v>19216</v>
      </c>
      <c r="K43" s="319" t="s">
        <v>19202</v>
      </c>
      <c r="L43" s="319" t="s">
        <v>19202</v>
      </c>
      <c r="M43" s="319" t="s">
        <v>19202</v>
      </c>
      <c r="N43" s="319" t="s">
        <v>19202</v>
      </c>
      <c r="O43" s="319" t="s">
        <v>19202</v>
      </c>
      <c r="P43" s="320" t="s">
        <v>19204</v>
      </c>
      <c r="Q43" s="321" t="s">
        <v>19202</v>
      </c>
      <c r="R43" s="150" t="str">
        <f ca="1">IF(ISERROR($V43),"",OFFSET('Smelter Look-up'!$C$4,$V43-4,0)&amp;"")</f>
        <v>Glencore Nikkelverk Refinery</v>
      </c>
      <c r="S43" s="156" t="str">
        <f t="shared" ca="1" si="0"/>
        <v>NO</v>
      </c>
      <c r="T43" s="156" t="str">
        <f ca="1">IF(B43="","",IF(ISERROR(MATCH($J43,SorP!$B$1:$B$6226,0)),"",INDIRECT("'SorP'!$A$"&amp;MATCH($S43&amp;$J43,SorP!C:C,0))))</f>
        <v/>
      </c>
      <c r="U43" s="169"/>
      <c r="V43" s="170">
        <f>IF(C43="",NA(),MATCH($B43&amp;$C43,'Smelter Look-up'!$J:$J,0))</f>
        <v>31</v>
      </c>
      <c r="X43" s="171">
        <f t="shared" si="1"/>
        <v>0</v>
      </c>
      <c r="AB43" s="171" t="str">
        <f t="shared" si="2"/>
        <v>CobaltGlencore Nikkelverk Refinery</v>
      </c>
    </row>
    <row r="44" spans="1:28" s="171" customFormat="1" ht="27">
      <c r="A44" s="324" t="s">
        <v>126</v>
      </c>
      <c r="B44" s="315" t="s">
        <v>43</v>
      </c>
      <c r="C44" s="316" t="s">
        <v>125</v>
      </c>
      <c r="D44" s="315" t="s">
        <v>125</v>
      </c>
      <c r="E44" s="315" t="s">
        <v>71</v>
      </c>
      <c r="F44" s="315" t="s">
        <v>126</v>
      </c>
      <c r="G44" s="315" t="s">
        <v>12</v>
      </c>
      <c r="H44" s="317" t="s">
        <v>19202</v>
      </c>
      <c r="I44" s="318" t="s">
        <v>127</v>
      </c>
      <c r="J44" s="318" t="s">
        <v>128</v>
      </c>
      <c r="K44" s="319" t="s">
        <v>19202</v>
      </c>
      <c r="L44" s="319" t="s">
        <v>19202</v>
      </c>
      <c r="M44" s="319" t="s">
        <v>19202</v>
      </c>
      <c r="N44" s="319" t="s">
        <v>19202</v>
      </c>
      <c r="O44" s="319" t="s">
        <v>19202</v>
      </c>
      <c r="P44" s="320" t="s">
        <v>19204</v>
      </c>
      <c r="Q44" s="321" t="s">
        <v>19202</v>
      </c>
      <c r="R44" s="150" t="str">
        <f ca="1">IF(ISERROR($V44),"",OFFSET('Smelter Look-up'!$C$4,$V44-4,0)&amp;"")</f>
        <v>Guangdong Jiana Energy Technology Co., Ltd.</v>
      </c>
      <c r="S44" s="156" t="str">
        <f t="shared" ca="1" si="0"/>
        <v>CN</v>
      </c>
      <c r="T44" s="156" t="str">
        <f ca="1">IF(B44="","",IF(ISERROR(MATCH($J44,SorP!$B$1:$B$6226,0)),"",INDIRECT("'SorP'!$A$"&amp;MATCH($S44&amp;$J44,SorP!C:C,0))))</f>
        <v>CN-GD</v>
      </c>
      <c r="U44" s="169"/>
      <c r="V44" s="170">
        <f>IF(C44="",NA(),MATCH($B44&amp;$C44,'Smelter Look-up'!$J:$J,0))</f>
        <v>33</v>
      </c>
      <c r="X44" s="171">
        <f t="shared" si="1"/>
        <v>0</v>
      </c>
      <c r="AB44" s="171" t="str">
        <f t="shared" si="2"/>
        <v>CobaltGuangdong Jiana Energy Technology Co., Ltd.</v>
      </c>
    </row>
    <row r="45" spans="1:28" s="171" customFormat="1" ht="27">
      <c r="A45" s="324" t="s">
        <v>126</v>
      </c>
      <c r="B45" s="315" t="s">
        <v>43</v>
      </c>
      <c r="C45" s="316" t="s">
        <v>125</v>
      </c>
      <c r="D45" s="315" t="s">
        <v>125</v>
      </c>
      <c r="E45" s="315" t="s">
        <v>71</v>
      </c>
      <c r="F45" s="315" t="s">
        <v>126</v>
      </c>
      <c r="G45" s="315" t="s">
        <v>12</v>
      </c>
      <c r="H45" s="317" t="s">
        <v>19202</v>
      </c>
      <c r="I45" s="318" t="s">
        <v>127</v>
      </c>
      <c r="J45" s="318" t="s">
        <v>132</v>
      </c>
      <c r="K45" s="319" t="s">
        <v>19202</v>
      </c>
      <c r="L45" s="319" t="s">
        <v>19202</v>
      </c>
      <c r="M45" s="319" t="s">
        <v>19202</v>
      </c>
      <c r="N45" s="319" t="s">
        <v>19202</v>
      </c>
      <c r="O45" s="319" t="s">
        <v>19202</v>
      </c>
      <c r="P45" s="320" t="s">
        <v>19204</v>
      </c>
      <c r="Q45" s="321" t="s">
        <v>19202</v>
      </c>
      <c r="R45" s="150" t="str">
        <f ca="1">IF(ISERROR($V45),"",OFFSET('Smelter Look-up'!$C$4,$V45-4,0)&amp;"")</f>
        <v>Guangdong Jiana Energy Technology Co., Ltd.</v>
      </c>
      <c r="S45" s="156" t="str">
        <f t="shared" ca="1" si="0"/>
        <v>CN</v>
      </c>
      <c r="T45" s="156" t="str">
        <f ca="1">IF(B45="","",IF(ISERROR(MATCH($J45,SorP!$B$1:$B$6226,0)),"",INDIRECT("'SorP'!$A$"&amp;MATCH($S45&amp;$J45,SorP!C:C,0))))</f>
        <v>CN-GX</v>
      </c>
      <c r="U45" s="169"/>
      <c r="V45" s="170">
        <f>IF(C45="",NA(),MATCH($B45&amp;$C45,'Smelter Look-up'!$J:$J,0))</f>
        <v>33</v>
      </c>
      <c r="X45" s="171">
        <f t="shared" si="1"/>
        <v>0</v>
      </c>
      <c r="AB45" s="171" t="str">
        <f t="shared" si="2"/>
        <v>CobaltGuangdong Jiana Energy Technology Co., Ltd.</v>
      </c>
    </row>
    <row r="46" spans="1:28" s="171" customFormat="1" ht="27">
      <c r="A46" s="324" t="s">
        <v>126</v>
      </c>
      <c r="B46" s="315" t="s">
        <v>43</v>
      </c>
      <c r="C46" s="316" t="s">
        <v>166</v>
      </c>
      <c r="D46" s="315" t="s">
        <v>125</v>
      </c>
      <c r="E46" s="315" t="s">
        <v>71</v>
      </c>
      <c r="F46" s="315" t="s">
        <v>126</v>
      </c>
      <c r="G46" s="315" t="s">
        <v>12</v>
      </c>
      <c r="H46" s="317" t="s">
        <v>19202</v>
      </c>
      <c r="I46" s="318" t="s">
        <v>127</v>
      </c>
      <c r="J46" s="318" t="s">
        <v>128</v>
      </c>
      <c r="K46" s="319" t="s">
        <v>19202</v>
      </c>
      <c r="L46" s="319" t="s">
        <v>19202</v>
      </c>
      <c r="M46" s="319" t="s">
        <v>19202</v>
      </c>
      <c r="N46" s="319" t="s">
        <v>19202</v>
      </c>
      <c r="O46" s="319" t="s">
        <v>19202</v>
      </c>
      <c r="P46" s="320" t="s">
        <v>19204</v>
      </c>
      <c r="Q46" s="321" t="s">
        <v>19202</v>
      </c>
      <c r="R46" s="150" t="str">
        <f ca="1">IF(ISERROR($V46),"",OFFSET('Smelter Look-up'!$C$4,$V46-4,0)&amp;"")</f>
        <v>Guangdong Jiana Energy Technology Co., Ltd.</v>
      </c>
      <c r="S46" s="156" t="str">
        <f t="shared" ca="1" si="0"/>
        <v>CN</v>
      </c>
      <c r="T46" s="156" t="str">
        <f ca="1">IF(B46="","",IF(ISERROR(MATCH($J46,SorP!$B$1:$B$6226,0)),"",INDIRECT("'SorP'!$A$"&amp;MATCH($S46&amp;$J46,SorP!C:C,0))))</f>
        <v>CN-GD</v>
      </c>
      <c r="U46" s="169"/>
      <c r="V46" s="170">
        <f>IF(C46="",NA(),MATCH($B46&amp;$C46,'Smelter Look-up'!$J:$J,0))</f>
        <v>52</v>
      </c>
      <c r="X46" s="171">
        <f t="shared" si="1"/>
        <v>0</v>
      </c>
      <c r="AB46" s="171" t="str">
        <f t="shared" si="2"/>
        <v>CobaltJiana</v>
      </c>
    </row>
    <row r="47" spans="1:28" s="171" customFormat="1" ht="27">
      <c r="A47" s="324" t="s">
        <v>126</v>
      </c>
      <c r="B47" s="315" t="s">
        <v>43</v>
      </c>
      <c r="C47" s="316" t="s">
        <v>166</v>
      </c>
      <c r="D47" s="315" t="s">
        <v>125</v>
      </c>
      <c r="E47" s="315" t="s">
        <v>71</v>
      </c>
      <c r="F47" s="315" t="s">
        <v>126</v>
      </c>
      <c r="G47" s="315" t="s">
        <v>12</v>
      </c>
      <c r="H47" s="317" t="s">
        <v>127</v>
      </c>
      <c r="I47" s="318" t="s">
        <v>127</v>
      </c>
      <c r="J47" s="318" t="s">
        <v>128</v>
      </c>
      <c r="K47" s="319" t="s">
        <v>19202</v>
      </c>
      <c r="L47" s="319" t="s">
        <v>19202</v>
      </c>
      <c r="M47" s="319" t="s">
        <v>19202</v>
      </c>
      <c r="N47" s="319" t="s">
        <v>19202</v>
      </c>
      <c r="O47" s="319" t="s">
        <v>19202</v>
      </c>
      <c r="P47" s="320" t="s">
        <v>19204</v>
      </c>
      <c r="Q47" s="321" t="s">
        <v>19202</v>
      </c>
      <c r="R47" s="150" t="str">
        <f ca="1">IF(ISERROR($V47),"",OFFSET('Smelter Look-up'!$C$4,$V47-4,0)&amp;"")</f>
        <v>Guangdong Jiana Energy Technology Co., Ltd.</v>
      </c>
      <c r="S47" s="156" t="str">
        <f t="shared" ca="1" si="0"/>
        <v>CN</v>
      </c>
      <c r="T47" s="156" t="str">
        <f ca="1">IF(B47="","",IF(ISERROR(MATCH($J47,SorP!$B$1:$B$6226,0)),"",INDIRECT("'SorP'!$A$"&amp;MATCH($S47&amp;$J47,SorP!C:C,0))))</f>
        <v>CN-GD</v>
      </c>
      <c r="U47" s="169"/>
      <c r="V47" s="170">
        <f>IF(C47="",NA(),MATCH($B47&amp;$C47,'Smelter Look-up'!$J:$J,0))</f>
        <v>52</v>
      </c>
      <c r="X47" s="171">
        <f t="shared" si="1"/>
        <v>0</v>
      </c>
      <c r="AB47" s="171" t="str">
        <f t="shared" si="2"/>
        <v>CobaltJiana</v>
      </c>
    </row>
    <row r="48" spans="1:28" s="171" customFormat="1" ht="27">
      <c r="A48" s="324" t="s">
        <v>130</v>
      </c>
      <c r="B48" s="315" t="s">
        <v>43</v>
      </c>
      <c r="C48" s="316" t="s">
        <v>129</v>
      </c>
      <c r="D48" s="315" t="s">
        <v>129</v>
      </c>
      <c r="E48" s="315" t="s">
        <v>71</v>
      </c>
      <c r="F48" s="315" t="s">
        <v>130</v>
      </c>
      <c r="G48" s="315" t="s">
        <v>12</v>
      </c>
      <c r="H48" s="317" t="s">
        <v>19202</v>
      </c>
      <c r="I48" s="318" t="s">
        <v>131</v>
      </c>
      <c r="J48" s="318" t="s">
        <v>132</v>
      </c>
      <c r="K48" s="319" t="s">
        <v>19202</v>
      </c>
      <c r="L48" s="319" t="s">
        <v>19202</v>
      </c>
      <c r="M48" s="319" t="s">
        <v>19202</v>
      </c>
      <c r="N48" s="319" t="s">
        <v>19202</v>
      </c>
      <c r="O48" s="319" t="s">
        <v>19202</v>
      </c>
      <c r="P48" s="320" t="s">
        <v>19204</v>
      </c>
      <c r="Q48" s="321" t="s">
        <v>19202</v>
      </c>
      <c r="R48" s="150" t="str">
        <f ca="1">IF(ISERROR($V48),"",OFFSET('Smelter Look-up'!$C$4,$V48-4,0)&amp;"")</f>
        <v>Guangxi Yinyi Advanced Material Co., Ltd.</v>
      </c>
      <c r="S48" s="156" t="str">
        <f t="shared" ca="1" si="0"/>
        <v>CN</v>
      </c>
      <c r="T48" s="156" t="str">
        <f ca="1">IF(B48="","",IF(ISERROR(MATCH($J48,SorP!$B$1:$B$6226,0)),"",INDIRECT("'SorP'!$A$"&amp;MATCH($S48&amp;$J48,SorP!C:C,0))))</f>
        <v>CN-GX</v>
      </c>
      <c r="U48" s="169"/>
      <c r="V48" s="170">
        <f>IF(C48="",NA(),MATCH($B48&amp;$C48,'Smelter Look-up'!$J:$J,0))</f>
        <v>35</v>
      </c>
      <c r="X48" s="171">
        <f t="shared" si="1"/>
        <v>0</v>
      </c>
      <c r="AB48" s="171" t="str">
        <f t="shared" si="2"/>
        <v>CobaltGuangxi Yinyi Advanced Material Co., Ltd.</v>
      </c>
    </row>
    <row r="49" spans="1:28" s="171" customFormat="1" ht="27">
      <c r="A49" s="324" t="s">
        <v>130</v>
      </c>
      <c r="B49" s="315" t="s">
        <v>43</v>
      </c>
      <c r="C49" s="316" t="s">
        <v>129</v>
      </c>
      <c r="D49" s="315" t="s">
        <v>129</v>
      </c>
      <c r="E49" s="315" t="s">
        <v>71</v>
      </c>
      <c r="F49" s="315" t="s">
        <v>130</v>
      </c>
      <c r="G49" s="315" t="s">
        <v>12</v>
      </c>
      <c r="H49" s="323" t="s">
        <v>19208</v>
      </c>
      <c r="I49" s="318" t="s">
        <v>131</v>
      </c>
      <c r="J49" s="318" t="s">
        <v>19217</v>
      </c>
      <c r="K49" s="319" t="s">
        <v>19202</v>
      </c>
      <c r="L49" s="319" t="s">
        <v>19202</v>
      </c>
      <c r="M49" s="319" t="s">
        <v>19202</v>
      </c>
      <c r="N49" s="319" t="s">
        <v>19202</v>
      </c>
      <c r="O49" s="319" t="s">
        <v>19202</v>
      </c>
      <c r="P49" s="320" t="s">
        <v>19204</v>
      </c>
      <c r="Q49" s="321" t="s">
        <v>19202</v>
      </c>
      <c r="R49" s="150" t="str">
        <f ca="1">IF(ISERROR($V49),"",OFFSET('Smelter Look-up'!$C$4,$V49-4,0)&amp;"")</f>
        <v>Guangxi Yinyi Advanced Material Co., Ltd.</v>
      </c>
      <c r="S49" s="156" t="str">
        <f t="shared" ca="1" si="0"/>
        <v>CN</v>
      </c>
      <c r="T49" s="156" t="str">
        <f ca="1">IF(B49="","",IF(ISERROR(MATCH($J49,SorP!$B$1:$B$6226,0)),"",INDIRECT("'SorP'!$A$"&amp;MATCH($S49&amp;$J49,SorP!C:C,0))))</f>
        <v/>
      </c>
      <c r="U49" s="169"/>
      <c r="V49" s="170">
        <f>IF(C49="",NA(),MATCH($B49&amp;$C49,'Smelter Look-up'!$J:$J,0))</f>
        <v>35</v>
      </c>
      <c r="X49" s="171">
        <f t="shared" si="1"/>
        <v>0</v>
      </c>
      <c r="AB49" s="171" t="str">
        <f t="shared" si="2"/>
        <v>CobaltGuangxi Yinyi Advanced Material Co., Ltd.</v>
      </c>
    </row>
    <row r="50" spans="1:28" s="171" customFormat="1" ht="27">
      <c r="A50" s="324" t="s">
        <v>130</v>
      </c>
      <c r="B50" s="315" t="s">
        <v>43</v>
      </c>
      <c r="C50" s="316" t="s">
        <v>129</v>
      </c>
      <c r="D50" s="315" t="s">
        <v>129</v>
      </c>
      <c r="E50" s="315" t="s">
        <v>71</v>
      </c>
      <c r="F50" s="315" t="s">
        <v>130</v>
      </c>
      <c r="G50" s="315" t="s">
        <v>12</v>
      </c>
      <c r="H50" s="317" t="s">
        <v>131</v>
      </c>
      <c r="I50" s="318" t="s">
        <v>131</v>
      </c>
      <c r="J50" s="318" t="s">
        <v>132</v>
      </c>
      <c r="K50" s="319" t="s">
        <v>19202</v>
      </c>
      <c r="L50" s="319" t="s">
        <v>19202</v>
      </c>
      <c r="M50" s="319" t="s">
        <v>19202</v>
      </c>
      <c r="N50" s="319" t="s">
        <v>19202</v>
      </c>
      <c r="O50" s="319" t="s">
        <v>19202</v>
      </c>
      <c r="P50" s="320" t="s">
        <v>19204</v>
      </c>
      <c r="Q50" s="321" t="s">
        <v>19202</v>
      </c>
      <c r="R50" s="150" t="str">
        <f ca="1">IF(ISERROR($V50),"",OFFSET('Smelter Look-up'!$C$4,$V50-4,0)&amp;"")</f>
        <v>Guangxi Yinyi Advanced Material Co., Ltd.</v>
      </c>
      <c r="S50" s="156" t="str">
        <f t="shared" ca="1" si="0"/>
        <v>CN</v>
      </c>
      <c r="T50" s="156" t="str">
        <f ca="1">IF(B50="","",IF(ISERROR(MATCH($J50,SorP!$B$1:$B$6226,0)),"",INDIRECT("'SorP'!$A$"&amp;MATCH($S50&amp;$J50,SorP!C:C,0))))</f>
        <v>CN-GX</v>
      </c>
      <c r="U50" s="169"/>
      <c r="V50" s="170">
        <f>IF(C50="",NA(),MATCH($B50&amp;$C50,'Smelter Look-up'!$J:$J,0))</f>
        <v>35</v>
      </c>
      <c r="X50" s="171">
        <f t="shared" si="1"/>
        <v>0</v>
      </c>
      <c r="AB50" s="171" t="str">
        <f t="shared" si="2"/>
        <v>CobaltGuangxi Yinyi Advanced Material Co., Ltd.</v>
      </c>
    </row>
    <row r="51" spans="1:28" s="171" customFormat="1" ht="27">
      <c r="A51" s="324" t="s">
        <v>19202</v>
      </c>
      <c r="B51" s="315" t="s">
        <v>43</v>
      </c>
      <c r="C51" s="316" t="s">
        <v>146</v>
      </c>
      <c r="D51" s="315" t="s">
        <v>146</v>
      </c>
      <c r="E51" s="315" t="s">
        <v>19202</v>
      </c>
      <c r="F51" s="315" t="s">
        <v>19202</v>
      </c>
      <c r="G51" s="315" t="s">
        <v>19202</v>
      </c>
      <c r="H51" s="317" t="s">
        <v>148</v>
      </c>
      <c r="I51" s="318" t="s">
        <v>19202</v>
      </c>
      <c r="J51" s="318" t="s">
        <v>19202</v>
      </c>
      <c r="K51" s="319" t="s">
        <v>19202</v>
      </c>
      <c r="L51" s="319" t="s">
        <v>19202</v>
      </c>
      <c r="M51" s="319" t="s">
        <v>19202</v>
      </c>
      <c r="N51" s="319" t="s">
        <v>19202</v>
      </c>
      <c r="O51" s="319" t="s">
        <v>19202</v>
      </c>
      <c r="P51" s="320" t="s">
        <v>19204</v>
      </c>
      <c r="Q51" s="321" t="s">
        <v>19202</v>
      </c>
      <c r="R51" s="150" t="str">
        <f ca="1">IF(ISERROR($V51),"",OFFSET('Smelter Look-up'!$C$4,$V51-4,0)&amp;"")</f>
        <v>Hunan Brunp Recycling Technology Co., Ltd.</v>
      </c>
      <c r="S51" s="156" t="str">
        <f t="shared" ca="1" si="0"/>
        <v>Unknown</v>
      </c>
      <c r="T51" s="156" t="str">
        <f ca="1">IF(B51="","",IF(ISERROR(MATCH($J51,SorP!$B$1:$B$6226,0)),"",INDIRECT("'SorP'!$A$"&amp;MATCH($S51&amp;$J51,SorP!C:C,0))))</f>
        <v/>
      </c>
      <c r="U51" s="169"/>
      <c r="V51" s="170">
        <f>IF(C51="",NA(),MATCH($B51&amp;$C51,'Smelter Look-up'!$J:$J,0))</f>
        <v>41</v>
      </c>
      <c r="X51" s="171">
        <f t="shared" si="1"/>
        <v>0</v>
      </c>
      <c r="AB51" s="171" t="str">
        <f t="shared" si="2"/>
        <v>CobaltHunan Brunp Recycling Technology Co., Ltd.</v>
      </c>
    </row>
    <row r="52" spans="1:28" s="171" customFormat="1" ht="27">
      <c r="A52" s="324" t="s">
        <v>147</v>
      </c>
      <c r="B52" s="315" t="s">
        <v>43</v>
      </c>
      <c r="C52" s="316" t="s">
        <v>146</v>
      </c>
      <c r="D52" s="315" t="s">
        <v>146</v>
      </c>
      <c r="E52" s="315" t="s">
        <v>71</v>
      </c>
      <c r="F52" s="315" t="s">
        <v>147</v>
      </c>
      <c r="G52" s="315" t="s">
        <v>12</v>
      </c>
      <c r="H52" s="317" t="s">
        <v>19202</v>
      </c>
      <c r="I52" s="318" t="s">
        <v>148</v>
      </c>
      <c r="J52" s="318" t="s">
        <v>19218</v>
      </c>
      <c r="K52" s="319" t="s">
        <v>19202</v>
      </c>
      <c r="L52" s="319" t="s">
        <v>19202</v>
      </c>
      <c r="M52" s="319" t="s">
        <v>19202</v>
      </c>
      <c r="N52" s="319" t="s">
        <v>19202</v>
      </c>
      <c r="O52" s="319" t="s">
        <v>19202</v>
      </c>
      <c r="P52" s="320" t="s">
        <v>19204</v>
      </c>
      <c r="Q52" s="321" t="s">
        <v>19202</v>
      </c>
      <c r="R52" s="150" t="str">
        <f ca="1">IF(ISERROR($V52),"",OFFSET('Smelter Look-up'!$C$4,$V52-4,0)&amp;"")</f>
        <v>Hunan Brunp Recycling Technology Co., Ltd.</v>
      </c>
      <c r="S52" s="156" t="str">
        <f t="shared" ca="1" si="0"/>
        <v>CN</v>
      </c>
      <c r="T52" s="156" t="str">
        <f ca="1">IF(B52="","",IF(ISERROR(MATCH($J52,SorP!$B$1:$B$6226,0)),"",INDIRECT("'SorP'!$A$"&amp;MATCH($S52&amp;$J52,SorP!C:C,0))))</f>
        <v/>
      </c>
      <c r="U52" s="169"/>
      <c r="V52" s="170">
        <f>IF(C52="",NA(),MATCH($B52&amp;$C52,'Smelter Look-up'!$J:$J,0))</f>
        <v>41</v>
      </c>
      <c r="X52" s="171">
        <f t="shared" si="1"/>
        <v>0</v>
      </c>
      <c r="AB52" s="171" t="str">
        <f t="shared" si="2"/>
        <v>CobaltHunan Brunp Recycling Technology Co., Ltd.</v>
      </c>
    </row>
    <row r="53" spans="1:28" s="171" customFormat="1" ht="27">
      <c r="A53" s="324" t="s">
        <v>147</v>
      </c>
      <c r="B53" s="315" t="s">
        <v>43</v>
      </c>
      <c r="C53" s="316" t="s">
        <v>146</v>
      </c>
      <c r="D53" s="315" t="s">
        <v>146</v>
      </c>
      <c r="E53" s="315" t="s">
        <v>71</v>
      </c>
      <c r="F53" s="315" t="s">
        <v>147</v>
      </c>
      <c r="G53" s="315" t="s">
        <v>12</v>
      </c>
      <c r="H53" s="317" t="s">
        <v>19202</v>
      </c>
      <c r="I53" s="318" t="s">
        <v>148</v>
      </c>
      <c r="J53" s="318" t="s">
        <v>149</v>
      </c>
      <c r="K53" s="319" t="s">
        <v>19202</v>
      </c>
      <c r="L53" s="319" t="s">
        <v>19202</v>
      </c>
      <c r="M53" s="319" t="s">
        <v>19202</v>
      </c>
      <c r="N53" s="319" t="s">
        <v>19202</v>
      </c>
      <c r="O53" s="319" t="s">
        <v>19202</v>
      </c>
      <c r="P53" s="320" t="s">
        <v>19204</v>
      </c>
      <c r="Q53" s="321" t="s">
        <v>19202</v>
      </c>
      <c r="R53" s="150" t="str">
        <f ca="1">IF(ISERROR($V53),"",OFFSET('Smelter Look-up'!$C$4,$V53-4,0)&amp;"")</f>
        <v>Hunan Brunp Recycling Technology Co., Ltd.</v>
      </c>
      <c r="S53" s="156" t="str">
        <f t="shared" ca="1" si="0"/>
        <v>CN</v>
      </c>
      <c r="T53" s="156" t="str">
        <f ca="1">IF(B53="","",IF(ISERROR(MATCH($J53,SorP!$B$1:$B$6226,0)),"",INDIRECT("'SorP'!$A$"&amp;MATCH($S53&amp;$J53,SorP!C:C,0))))</f>
        <v>CN-HN</v>
      </c>
      <c r="U53" s="169"/>
      <c r="V53" s="170">
        <f>IF(C53="",NA(),MATCH($B53&amp;$C53,'Smelter Look-up'!$J:$J,0))</f>
        <v>41</v>
      </c>
      <c r="X53" s="171">
        <f t="shared" si="1"/>
        <v>0</v>
      </c>
      <c r="AB53" s="171" t="str">
        <f t="shared" si="2"/>
        <v>CobaltHunan Brunp Recycling Technology Co., Ltd.</v>
      </c>
    </row>
    <row r="54" spans="1:28" s="171" customFormat="1" ht="27">
      <c r="A54" s="324" t="s">
        <v>159</v>
      </c>
      <c r="B54" s="315" t="s">
        <v>43</v>
      </c>
      <c r="C54" s="316" t="s">
        <v>158</v>
      </c>
      <c r="D54" s="315" t="s">
        <v>158</v>
      </c>
      <c r="E54" s="315" t="s">
        <v>71</v>
      </c>
      <c r="F54" s="315" t="s">
        <v>159</v>
      </c>
      <c r="G54" s="315" t="s">
        <v>12</v>
      </c>
      <c r="H54" s="317" t="s">
        <v>19202</v>
      </c>
      <c r="I54" s="318" t="s">
        <v>148</v>
      </c>
      <c r="J54" s="318" t="s">
        <v>149</v>
      </c>
      <c r="K54" s="319" t="s">
        <v>19202</v>
      </c>
      <c r="L54" s="319" t="s">
        <v>19202</v>
      </c>
      <c r="M54" s="319" t="s">
        <v>19202</v>
      </c>
      <c r="N54" s="319" t="s">
        <v>19202</v>
      </c>
      <c r="O54" s="319" t="s">
        <v>19202</v>
      </c>
      <c r="P54" s="320" t="s">
        <v>19204</v>
      </c>
      <c r="Q54" s="321" t="s">
        <v>19202</v>
      </c>
      <c r="R54" s="150" t="str">
        <f ca="1">IF(ISERROR($V54),"",OFFSET('Smelter Look-up'!$C$4,$V54-4,0)&amp;"")</f>
        <v>Hunan Yacheng New Materials Co., Ltd.</v>
      </c>
      <c r="S54" s="156" t="str">
        <f t="shared" ca="1" si="0"/>
        <v>CN</v>
      </c>
      <c r="T54" s="156" t="str">
        <f ca="1">IF(B54="","",IF(ISERROR(MATCH($J54,SorP!$B$1:$B$6226,0)),"",INDIRECT("'SorP'!$A$"&amp;MATCH($S54&amp;$J54,SorP!C:C,0))))</f>
        <v>CN-HN</v>
      </c>
      <c r="U54" s="169"/>
      <c r="V54" s="170">
        <f>IF(C54="",NA(),MATCH($B54&amp;$C54,'Smelter Look-up'!$J:$J,0))</f>
        <v>47</v>
      </c>
      <c r="X54" s="171">
        <f t="shared" si="1"/>
        <v>0</v>
      </c>
      <c r="AB54" s="171" t="str">
        <f t="shared" si="2"/>
        <v>CobaltHunan Yacheng New Materials Co., Ltd.</v>
      </c>
    </row>
    <row r="55" spans="1:28" s="171" customFormat="1" ht="27">
      <c r="A55" s="324" t="s">
        <v>159</v>
      </c>
      <c r="B55" s="315" t="s">
        <v>43</v>
      </c>
      <c r="C55" s="316" t="s">
        <v>158</v>
      </c>
      <c r="D55" s="315" t="s">
        <v>158</v>
      </c>
      <c r="E55" s="315" t="s">
        <v>71</v>
      </c>
      <c r="F55" s="315" t="s">
        <v>159</v>
      </c>
      <c r="G55" s="315" t="s">
        <v>12</v>
      </c>
      <c r="H55" s="317" t="s">
        <v>148</v>
      </c>
      <c r="I55" s="318" t="s">
        <v>148</v>
      </c>
      <c r="J55" s="318" t="s">
        <v>149</v>
      </c>
      <c r="K55" s="319" t="s">
        <v>19202</v>
      </c>
      <c r="L55" s="319" t="s">
        <v>19202</v>
      </c>
      <c r="M55" s="319" t="s">
        <v>19202</v>
      </c>
      <c r="N55" s="319" t="s">
        <v>19202</v>
      </c>
      <c r="O55" s="319" t="s">
        <v>19202</v>
      </c>
      <c r="P55" s="320" t="s">
        <v>19204</v>
      </c>
      <c r="Q55" s="321" t="s">
        <v>19202</v>
      </c>
      <c r="R55" s="150" t="str">
        <f ca="1">IF(ISERROR($V55),"",OFFSET('Smelter Look-up'!$C$4,$V55-4,0)&amp;"")</f>
        <v>Hunan Yacheng New Materials Co., Ltd.</v>
      </c>
      <c r="S55" s="156" t="str">
        <f t="shared" ca="1" si="0"/>
        <v>CN</v>
      </c>
      <c r="T55" s="156" t="str">
        <f ca="1">IF(B55="","",IF(ISERROR(MATCH($J55,SorP!$B$1:$B$6226,0)),"",INDIRECT("'SorP'!$A$"&amp;MATCH($S55&amp;$J55,SorP!C:C,0))))</f>
        <v>CN-HN</v>
      </c>
      <c r="U55" s="169"/>
      <c r="V55" s="170">
        <f>IF(C55="",NA(),MATCH($B55&amp;$C55,'Smelter Look-up'!$J:$J,0))</f>
        <v>47</v>
      </c>
      <c r="X55" s="171">
        <f t="shared" si="1"/>
        <v>0</v>
      </c>
      <c r="AB55" s="171" t="str">
        <f t="shared" si="2"/>
        <v>CobaltHunan Yacheng New Materials Co., Ltd.</v>
      </c>
    </row>
    <row r="56" spans="1:28" s="171" customFormat="1" ht="27">
      <c r="A56" s="324" t="s">
        <v>151</v>
      </c>
      <c r="B56" s="315" t="s">
        <v>43</v>
      </c>
      <c r="C56" s="316" t="s">
        <v>160</v>
      </c>
      <c r="D56" s="315" t="s">
        <v>160</v>
      </c>
      <c r="E56" s="315" t="s">
        <v>71</v>
      </c>
      <c r="F56" s="315" t="s">
        <v>151</v>
      </c>
      <c r="G56" s="315" t="s">
        <v>12</v>
      </c>
      <c r="H56" s="317" t="s">
        <v>19202</v>
      </c>
      <c r="I56" s="318" t="s">
        <v>148</v>
      </c>
      <c r="J56" s="318" t="s">
        <v>149</v>
      </c>
      <c r="K56" s="319" t="s">
        <v>19202</v>
      </c>
      <c r="L56" s="319" t="s">
        <v>19202</v>
      </c>
      <c r="M56" s="319" t="s">
        <v>19202</v>
      </c>
      <c r="N56" s="319" t="s">
        <v>19202</v>
      </c>
      <c r="O56" s="319" t="s">
        <v>19202</v>
      </c>
      <c r="P56" s="320" t="s">
        <v>19204</v>
      </c>
      <c r="Q56" s="321" t="s">
        <v>19202</v>
      </c>
      <c r="R56" s="150" t="str">
        <f ca="1">IF(ISERROR($V56),"",OFFSET('Smelter Look-up'!$C$4,$V56-4,0)&amp;"")</f>
        <v>Hunan CNGR New Energy Science &amp; Technology Co., Ltd.</v>
      </c>
      <c r="S56" s="156" t="str">
        <f t="shared" ca="1" si="0"/>
        <v>CN</v>
      </c>
      <c r="T56" s="156" t="str">
        <f ca="1">IF(B56="","",IF(ISERROR(MATCH($J56,SorP!$B$1:$B$6226,0)),"",INDIRECT("'SorP'!$A$"&amp;MATCH($S56&amp;$J56,SorP!C:C,0))))</f>
        <v>CN-HN</v>
      </c>
      <c r="U56" s="169"/>
      <c r="V56" s="170">
        <f>IF(C56="",NA(),MATCH($B56&amp;$C56,'Smelter Look-up'!$J:$J,0))</f>
        <v>48</v>
      </c>
      <c r="X56" s="171">
        <f t="shared" si="1"/>
        <v>0</v>
      </c>
      <c r="AB56" s="171" t="str">
        <f t="shared" si="2"/>
        <v>CobaltHunan Zoomwe New Energy Science &amp; Technology Co., Ltd.</v>
      </c>
    </row>
    <row r="57" spans="1:28" s="171" customFormat="1" ht="27">
      <c r="A57" s="324" t="s">
        <v>151</v>
      </c>
      <c r="B57" s="315" t="s">
        <v>43</v>
      </c>
      <c r="C57" s="316" t="s">
        <v>160</v>
      </c>
      <c r="D57" s="315" t="s">
        <v>160</v>
      </c>
      <c r="E57" s="315" t="s">
        <v>71</v>
      </c>
      <c r="F57" s="315" t="s">
        <v>151</v>
      </c>
      <c r="G57" s="315" t="s">
        <v>12</v>
      </c>
      <c r="H57" s="317" t="s">
        <v>148</v>
      </c>
      <c r="I57" s="318" t="s">
        <v>148</v>
      </c>
      <c r="J57" s="318" t="s">
        <v>149</v>
      </c>
      <c r="K57" s="319" t="s">
        <v>19202</v>
      </c>
      <c r="L57" s="319" t="s">
        <v>19202</v>
      </c>
      <c r="M57" s="319" t="s">
        <v>19202</v>
      </c>
      <c r="N57" s="319" t="s">
        <v>19202</v>
      </c>
      <c r="O57" s="319" t="s">
        <v>19202</v>
      </c>
      <c r="P57" s="320" t="s">
        <v>19204</v>
      </c>
      <c r="Q57" s="321" t="s">
        <v>19202</v>
      </c>
      <c r="R57" s="150" t="str">
        <f ca="1">IF(ISERROR($V57),"",OFFSET('Smelter Look-up'!$C$4,$V57-4,0)&amp;"")</f>
        <v>Hunan CNGR New Energy Science &amp; Technology Co., Ltd.</v>
      </c>
      <c r="S57" s="156" t="str">
        <f t="shared" ca="1" si="0"/>
        <v>CN</v>
      </c>
      <c r="T57" s="156" t="str">
        <f ca="1">IF(B57="","",IF(ISERROR(MATCH($J57,SorP!$B$1:$B$6226,0)),"",INDIRECT("'SorP'!$A$"&amp;MATCH($S57&amp;$J57,SorP!C:C,0))))</f>
        <v>CN-HN</v>
      </c>
      <c r="U57" s="169"/>
      <c r="V57" s="170">
        <f>IF(C57="",NA(),MATCH($B57&amp;$C57,'Smelter Look-up'!$J:$J,0))</f>
        <v>48</v>
      </c>
      <c r="X57" s="171">
        <f t="shared" si="1"/>
        <v>0</v>
      </c>
      <c r="AB57" s="171" t="str">
        <f t="shared" si="2"/>
        <v>CobaltHunan Zoomwe New Energy Science &amp; Technology Co., Ltd.</v>
      </c>
    </row>
    <row r="58" spans="1:28" s="171" customFormat="1" ht="27">
      <c r="A58" s="324" t="s">
        <v>170</v>
      </c>
      <c r="B58" s="315" t="s">
        <v>43</v>
      </c>
      <c r="C58" s="316" t="s">
        <v>169</v>
      </c>
      <c r="D58" s="315" t="s">
        <v>169</v>
      </c>
      <c r="E58" s="315" t="s">
        <v>71</v>
      </c>
      <c r="F58" s="315" t="s">
        <v>170</v>
      </c>
      <c r="G58" s="315" t="s">
        <v>12</v>
      </c>
      <c r="H58" s="317" t="s">
        <v>19202</v>
      </c>
      <c r="I58" s="318" t="s">
        <v>171</v>
      </c>
      <c r="J58" s="318" t="s">
        <v>120</v>
      </c>
      <c r="K58" s="319" t="s">
        <v>19202</v>
      </c>
      <c r="L58" s="319" t="s">
        <v>19202</v>
      </c>
      <c r="M58" s="319" t="s">
        <v>19202</v>
      </c>
      <c r="N58" s="319" t="s">
        <v>19202</v>
      </c>
      <c r="O58" s="319" t="s">
        <v>19202</v>
      </c>
      <c r="P58" s="320" t="s">
        <v>19204</v>
      </c>
      <c r="Q58" s="321" t="s">
        <v>19202</v>
      </c>
      <c r="R58" s="150" t="str">
        <f ca="1">IF(ISERROR($V58),"",OFFSET('Smelter Look-up'!$C$4,$V58-4,0)&amp;"")</f>
        <v>Jiangsu Xiongfeng Technology Co., Ltd.</v>
      </c>
      <c r="S58" s="156" t="str">
        <f t="shared" ca="1" si="0"/>
        <v>CN</v>
      </c>
      <c r="T58" s="156" t="str">
        <f ca="1">IF(B58="","",IF(ISERROR(MATCH($J58,SorP!$B$1:$B$6226,0)),"",INDIRECT("'SorP'!$A$"&amp;MATCH($S58&amp;$J58,SorP!C:C,0))))</f>
        <v>CN-JS</v>
      </c>
      <c r="U58" s="169"/>
      <c r="V58" s="170">
        <f>IF(C58="",NA(),MATCH($B58&amp;$C58,'Smelter Look-up'!$J:$J,0))</f>
        <v>57</v>
      </c>
      <c r="X58" s="171">
        <f t="shared" si="1"/>
        <v>0</v>
      </c>
      <c r="AB58" s="171" t="str">
        <f t="shared" si="2"/>
        <v>CobaltJiangsu Xiongfeng Technology Co., Ltd.</v>
      </c>
    </row>
    <row r="59" spans="1:28" s="171" customFormat="1" ht="27">
      <c r="A59" s="324" t="s">
        <v>170</v>
      </c>
      <c r="B59" s="315" t="s">
        <v>43</v>
      </c>
      <c r="C59" s="316" t="s">
        <v>307</v>
      </c>
      <c r="D59" s="315" t="s">
        <v>169</v>
      </c>
      <c r="E59" s="315" t="s">
        <v>71</v>
      </c>
      <c r="F59" s="315" t="s">
        <v>170</v>
      </c>
      <c r="G59" s="315" t="s">
        <v>12</v>
      </c>
      <c r="H59" s="317" t="s">
        <v>19202</v>
      </c>
      <c r="I59" s="318" t="s">
        <v>171</v>
      </c>
      <c r="J59" s="318" t="s">
        <v>120</v>
      </c>
      <c r="K59" s="319" t="s">
        <v>19202</v>
      </c>
      <c r="L59" s="319" t="s">
        <v>19202</v>
      </c>
      <c r="M59" s="319" t="s">
        <v>19202</v>
      </c>
      <c r="N59" s="319" t="s">
        <v>19202</v>
      </c>
      <c r="O59" s="319" t="s">
        <v>19202</v>
      </c>
      <c r="P59" s="320" t="s">
        <v>19204</v>
      </c>
      <c r="Q59" s="321" t="s">
        <v>19202</v>
      </c>
      <c r="R59" s="150" t="str">
        <f ca="1">IF(ISERROR($V59),"",OFFSET('Smelter Look-up'!$C$4,$V59-4,0)&amp;"")</f>
        <v>Jiangsu Xiongfeng Technology Co., Ltd.</v>
      </c>
      <c r="S59" s="156" t="str">
        <f t="shared" ca="1" si="0"/>
        <v>CN</v>
      </c>
      <c r="T59" s="156" t="str">
        <f ca="1">IF(B59="","",IF(ISERROR(MATCH($J59,SorP!$B$1:$B$6226,0)),"",INDIRECT("'SorP'!$A$"&amp;MATCH($S59&amp;$J59,SorP!C:C,0))))</f>
        <v>CN-JS</v>
      </c>
      <c r="U59" s="169"/>
      <c r="V59" s="170">
        <f>IF(C59="",NA(),MATCH($B59&amp;$C59,'Smelter Look-up'!$J:$J,0))</f>
        <v>147</v>
      </c>
      <c r="X59" s="171">
        <f t="shared" si="1"/>
        <v>0</v>
      </c>
      <c r="AB59" s="171" t="str">
        <f t="shared" si="2"/>
        <v>CobaltXiongfeng</v>
      </c>
    </row>
    <row r="60" spans="1:28" s="171" customFormat="1" ht="27">
      <c r="A60" s="324" t="s">
        <v>170</v>
      </c>
      <c r="B60" s="315" t="s">
        <v>43</v>
      </c>
      <c r="C60" s="316" t="s">
        <v>307</v>
      </c>
      <c r="D60" s="315" t="s">
        <v>169</v>
      </c>
      <c r="E60" s="315" t="s">
        <v>71</v>
      </c>
      <c r="F60" s="315" t="s">
        <v>170</v>
      </c>
      <c r="G60" s="315" t="s">
        <v>12</v>
      </c>
      <c r="H60" s="317" t="s">
        <v>171</v>
      </c>
      <c r="I60" s="318" t="s">
        <v>171</v>
      </c>
      <c r="J60" s="318" t="s">
        <v>120</v>
      </c>
      <c r="K60" s="319" t="s">
        <v>19202</v>
      </c>
      <c r="L60" s="319" t="s">
        <v>19202</v>
      </c>
      <c r="M60" s="319" t="s">
        <v>19202</v>
      </c>
      <c r="N60" s="319" t="s">
        <v>19202</v>
      </c>
      <c r="O60" s="319" t="s">
        <v>19202</v>
      </c>
      <c r="P60" s="320" t="s">
        <v>19204</v>
      </c>
      <c r="Q60" s="321" t="s">
        <v>19202</v>
      </c>
      <c r="R60" s="150" t="str">
        <f ca="1">IF(ISERROR($V60),"",OFFSET('Smelter Look-up'!$C$4,$V60-4,0)&amp;"")</f>
        <v>Jiangsu Xiongfeng Technology Co., Ltd.</v>
      </c>
      <c r="S60" s="156" t="str">
        <f t="shared" ca="1" si="0"/>
        <v>CN</v>
      </c>
      <c r="T60" s="156" t="str">
        <f ca="1">IF(B60="","",IF(ISERROR(MATCH($J60,SorP!$B$1:$B$6226,0)),"",INDIRECT("'SorP'!$A$"&amp;MATCH($S60&amp;$J60,SorP!C:C,0))))</f>
        <v>CN-JS</v>
      </c>
      <c r="U60" s="169"/>
      <c r="V60" s="170">
        <f>IF(C60="",NA(),MATCH($B60&amp;$C60,'Smelter Look-up'!$J:$J,0))</f>
        <v>147</v>
      </c>
      <c r="X60" s="171">
        <f t="shared" si="1"/>
        <v>0</v>
      </c>
      <c r="AB60" s="171" t="str">
        <f t="shared" si="2"/>
        <v>CobaltXiongfeng</v>
      </c>
    </row>
    <row r="61" spans="1:28" s="171" customFormat="1" ht="27">
      <c r="A61" s="324" t="s">
        <v>172</v>
      </c>
      <c r="B61" s="315" t="s">
        <v>43</v>
      </c>
      <c r="C61" s="316" t="s">
        <v>19219</v>
      </c>
      <c r="D61" s="315" t="s">
        <v>19219</v>
      </c>
      <c r="E61" s="315" t="s">
        <v>71</v>
      </c>
      <c r="F61" s="315" t="s">
        <v>172</v>
      </c>
      <c r="G61" s="315" t="s">
        <v>12</v>
      </c>
      <c r="H61" s="317" t="s">
        <v>19202</v>
      </c>
      <c r="I61" s="318" t="s">
        <v>111</v>
      </c>
      <c r="J61" s="318" t="s">
        <v>112</v>
      </c>
      <c r="K61" s="319" t="s">
        <v>19202</v>
      </c>
      <c r="L61" s="319" t="s">
        <v>19202</v>
      </c>
      <c r="M61" s="319" t="s">
        <v>19202</v>
      </c>
      <c r="N61" s="319" t="s">
        <v>19202</v>
      </c>
      <c r="O61" s="319" t="s">
        <v>19202</v>
      </c>
      <c r="P61" s="320" t="s">
        <v>19204</v>
      </c>
      <c r="Q61" s="321" t="s">
        <v>19202</v>
      </c>
      <c r="R61" s="150" t="str">
        <f ca="1">IF(ISERROR($V61),"",OFFSET('Smelter Look-up'!$C$4,$V61-4,0)&amp;"")</f>
        <v>Jiangxi Jiangwu Cobalt Industrial Co., Ltd.</v>
      </c>
      <c r="S61" s="156" t="str">
        <f t="shared" ca="1" si="0"/>
        <v>CN</v>
      </c>
      <c r="T61" s="156" t="str">
        <f ca="1">IF(B61="","",IF(ISERROR(MATCH($J61,SorP!$B$1:$B$6226,0)),"",INDIRECT("'SorP'!$A$"&amp;MATCH($S61&amp;$J61,SorP!C:C,0))))</f>
        <v>CN-JX</v>
      </c>
      <c r="U61" s="169"/>
      <c r="V61" s="170">
        <f>IF(C61="",NA(),MATCH($B61&amp;$C61,'Smelter Look-up'!$J:$J,0))</f>
        <v>58</v>
      </c>
      <c r="X61" s="171">
        <f t="shared" si="1"/>
        <v>0</v>
      </c>
      <c r="AB61" s="171" t="str">
        <f t="shared" si="2"/>
        <v>CobaltJiangxi Jiangwu Cobalt industrial Co., Ltd.</v>
      </c>
    </row>
    <row r="62" spans="1:28" s="171" customFormat="1" ht="27">
      <c r="A62" s="324" t="s">
        <v>172</v>
      </c>
      <c r="B62" s="315" t="s">
        <v>43</v>
      </c>
      <c r="C62" s="316" t="s">
        <v>19219</v>
      </c>
      <c r="D62" s="315" t="s">
        <v>19219</v>
      </c>
      <c r="E62" s="315" t="s">
        <v>71</v>
      </c>
      <c r="F62" s="315" t="s">
        <v>172</v>
      </c>
      <c r="G62" s="315" t="s">
        <v>12</v>
      </c>
      <c r="H62" s="317" t="s">
        <v>111</v>
      </c>
      <c r="I62" s="318" t="s">
        <v>111</v>
      </c>
      <c r="J62" s="318" t="s">
        <v>112</v>
      </c>
      <c r="K62" s="319" t="s">
        <v>19202</v>
      </c>
      <c r="L62" s="319" t="s">
        <v>19202</v>
      </c>
      <c r="M62" s="319" t="s">
        <v>19202</v>
      </c>
      <c r="N62" s="319" t="s">
        <v>19202</v>
      </c>
      <c r="O62" s="319" t="s">
        <v>19202</v>
      </c>
      <c r="P62" s="320" t="s">
        <v>19204</v>
      </c>
      <c r="Q62" s="321" t="s">
        <v>19202</v>
      </c>
      <c r="R62" s="150" t="str">
        <f ca="1">IF(ISERROR($V62),"",OFFSET('Smelter Look-up'!$C$4,$V62-4,0)&amp;"")</f>
        <v>Jiangxi Jiangwu Cobalt Industrial Co., Ltd.</v>
      </c>
      <c r="S62" s="156" t="str">
        <f t="shared" ca="1" si="0"/>
        <v>CN</v>
      </c>
      <c r="T62" s="156" t="str">
        <f ca="1">IF(B62="","",IF(ISERROR(MATCH($J62,SorP!$B$1:$B$6226,0)),"",INDIRECT("'SorP'!$A$"&amp;MATCH($S62&amp;$J62,SorP!C:C,0))))</f>
        <v>CN-JX</v>
      </c>
      <c r="U62" s="169"/>
      <c r="V62" s="170">
        <f>IF(C62="",NA(),MATCH($B62&amp;$C62,'Smelter Look-up'!$J:$J,0))</f>
        <v>58</v>
      </c>
      <c r="X62" s="171">
        <f t="shared" si="1"/>
        <v>0</v>
      </c>
      <c r="AB62" s="171" t="str">
        <f t="shared" si="2"/>
        <v>CobaltJiangxi Jiangwu Cobalt industrial Co., Ltd.</v>
      </c>
    </row>
    <row r="63" spans="1:28" s="171" customFormat="1" ht="27">
      <c r="A63" s="324" t="s">
        <v>19220</v>
      </c>
      <c r="B63" s="315" t="s">
        <v>43</v>
      </c>
      <c r="C63" s="316" t="s">
        <v>173</v>
      </c>
      <c r="D63" s="315" t="s">
        <v>173</v>
      </c>
      <c r="E63" s="315" t="s">
        <v>71</v>
      </c>
      <c r="F63" s="315" t="s">
        <v>19220</v>
      </c>
      <c r="G63" s="315" t="s">
        <v>12</v>
      </c>
      <c r="H63" s="317" t="s">
        <v>19202</v>
      </c>
      <c r="I63" s="318" t="s">
        <v>19221</v>
      </c>
      <c r="J63" s="318" t="s">
        <v>112</v>
      </c>
      <c r="K63" s="319" t="s">
        <v>19202</v>
      </c>
      <c r="L63" s="319" t="s">
        <v>19202</v>
      </c>
      <c r="M63" s="319" t="s">
        <v>19202</v>
      </c>
      <c r="N63" s="319" t="s">
        <v>19202</v>
      </c>
      <c r="O63" s="319" t="s">
        <v>19202</v>
      </c>
      <c r="P63" s="320" t="s">
        <v>19204</v>
      </c>
      <c r="Q63" s="321" t="s">
        <v>19202</v>
      </c>
      <c r="R63" s="150" t="str">
        <f ca="1">IF(ISERROR($V63),"",OFFSET('Smelter Look-up'!$C$4,$V63-4,0)&amp;"")</f>
        <v>Jiangxi Ruida New Energy Technology Co., Ltd.</v>
      </c>
      <c r="S63" s="156" t="str">
        <f t="shared" ca="1" si="0"/>
        <v>CN</v>
      </c>
      <c r="T63" s="156" t="str">
        <f ca="1">IF(B63="","",IF(ISERROR(MATCH($J63,SorP!$B$1:$B$6226,0)),"",INDIRECT("'SorP'!$A$"&amp;MATCH($S63&amp;$J63,SorP!C:C,0))))</f>
        <v>CN-JX</v>
      </c>
      <c r="U63" s="169"/>
      <c r="V63" s="170">
        <f>IF(C63="",NA(),MATCH($B63&amp;$C63,'Smelter Look-up'!$J:$J,0))</f>
        <v>60</v>
      </c>
      <c r="X63" s="171">
        <f t="shared" ref="X63:X126" si="3">IF(AND(C63="Smelter not listed",OR(LEN(D63)=0,LEN(E63)=0)),1,0)</f>
        <v>0</v>
      </c>
      <c r="AB63" s="171" t="str">
        <f t="shared" ref="AB63:AB126" si="4">B63&amp;C63</f>
        <v>CobaltJiangxi Rui da Xinnengyuan Technology Co., Ltd.</v>
      </c>
    </row>
    <row r="64" spans="1:28" s="171" customFormat="1" ht="27">
      <c r="A64" s="324" t="s">
        <v>19220</v>
      </c>
      <c r="B64" s="315" t="s">
        <v>43</v>
      </c>
      <c r="C64" s="316" t="s">
        <v>173</v>
      </c>
      <c r="D64" s="315" t="s">
        <v>173</v>
      </c>
      <c r="E64" s="315" t="s">
        <v>71</v>
      </c>
      <c r="F64" s="315" t="s">
        <v>19220</v>
      </c>
      <c r="G64" s="315" t="s">
        <v>12</v>
      </c>
      <c r="H64" s="317" t="s">
        <v>19221</v>
      </c>
      <c r="I64" s="318" t="s">
        <v>19221</v>
      </c>
      <c r="J64" s="318" t="s">
        <v>112</v>
      </c>
      <c r="K64" s="319" t="s">
        <v>19202</v>
      </c>
      <c r="L64" s="319" t="s">
        <v>19202</v>
      </c>
      <c r="M64" s="319" t="s">
        <v>19202</v>
      </c>
      <c r="N64" s="319" t="s">
        <v>19202</v>
      </c>
      <c r="O64" s="319" t="s">
        <v>19202</v>
      </c>
      <c r="P64" s="320" t="s">
        <v>19204</v>
      </c>
      <c r="Q64" s="321" t="s">
        <v>19202</v>
      </c>
      <c r="R64" s="150" t="str">
        <f ca="1">IF(ISERROR($V64),"",OFFSET('Smelter Look-up'!$C$4,$V64-4,0)&amp;"")</f>
        <v>Jiangxi Ruida New Energy Technology Co., Ltd.</v>
      </c>
      <c r="S64" s="156" t="str">
        <f t="shared" ref="S64:S127" ca="1" si="5">IF(B64="","",IF(ISERROR(MATCH($E64,CL,0)),"Unknown",INDIRECT("'C'!$A$"&amp;MATCH($E64,CL,0)+1)))</f>
        <v>CN</v>
      </c>
      <c r="T64" s="156" t="str">
        <f ca="1">IF(B64="","",IF(ISERROR(MATCH($J64,SorP!$B$1:$B$6226,0)),"",INDIRECT("'SorP'!$A$"&amp;MATCH($S64&amp;$J64,SorP!C:C,0))))</f>
        <v>CN-JX</v>
      </c>
      <c r="U64" s="169"/>
      <c r="V64" s="170">
        <f>IF(C64="",NA(),MATCH($B64&amp;$C64,'Smelter Look-up'!$J:$J,0))</f>
        <v>60</v>
      </c>
      <c r="X64" s="171">
        <f t="shared" si="3"/>
        <v>0</v>
      </c>
      <c r="AB64" s="171" t="str">
        <f t="shared" si="4"/>
        <v>CobaltJiangxi Rui da Xinnengyuan Technology Co., Ltd.</v>
      </c>
    </row>
    <row r="65" spans="1:28" s="171" customFormat="1" ht="20">
      <c r="A65" s="324" t="s">
        <v>175</v>
      </c>
      <c r="B65" s="315" t="s">
        <v>43</v>
      </c>
      <c r="C65" s="316" t="s">
        <v>174</v>
      </c>
      <c r="D65" s="315" t="s">
        <v>174</v>
      </c>
      <c r="E65" s="315" t="s">
        <v>71</v>
      </c>
      <c r="F65" s="315" t="s">
        <v>175</v>
      </c>
      <c r="G65" s="315" t="s">
        <v>12</v>
      </c>
      <c r="H65" s="317" t="s">
        <v>19202</v>
      </c>
      <c r="I65" s="318" t="s">
        <v>176</v>
      </c>
      <c r="J65" s="318" t="s">
        <v>177</v>
      </c>
      <c r="K65" s="319" t="s">
        <v>19202</v>
      </c>
      <c r="L65" s="319" t="s">
        <v>19202</v>
      </c>
      <c r="M65" s="319" t="s">
        <v>19202</v>
      </c>
      <c r="N65" s="319" t="s">
        <v>19202</v>
      </c>
      <c r="O65" s="319" t="s">
        <v>19202</v>
      </c>
      <c r="P65" s="320" t="s">
        <v>19204</v>
      </c>
      <c r="Q65" s="321" t="s">
        <v>19202</v>
      </c>
      <c r="R65" s="150" t="str">
        <f ca="1">IF(ISERROR($V65),"",OFFSET('Smelter Look-up'!$C$4,$V65-4,0)&amp;"")</f>
        <v>Jingmen GEM Co., Ltd.</v>
      </c>
      <c r="S65" s="156" t="str">
        <f t="shared" ca="1" si="5"/>
        <v>CN</v>
      </c>
      <c r="T65" s="156" t="str">
        <f ca="1">IF(B65="","",IF(ISERROR(MATCH($J65,SorP!$B$1:$B$6226,0)),"",INDIRECT("'SorP'!$A$"&amp;MATCH($S65&amp;$J65,SorP!C:C,0))))</f>
        <v>CN-HB</v>
      </c>
      <c r="U65" s="169"/>
      <c r="V65" s="170">
        <f>IF(C65="",NA(),MATCH($B65&amp;$C65,'Smelter Look-up'!$J:$J,0))</f>
        <v>62</v>
      </c>
      <c r="X65" s="171">
        <f t="shared" si="3"/>
        <v>0</v>
      </c>
      <c r="AB65" s="171" t="str">
        <f t="shared" si="4"/>
        <v>CobaltJingmen GEM Co., Ltd.</v>
      </c>
    </row>
    <row r="66" spans="1:28" s="171" customFormat="1" ht="20">
      <c r="A66" s="324" t="s">
        <v>175</v>
      </c>
      <c r="B66" s="315" t="s">
        <v>43</v>
      </c>
      <c r="C66" s="316" t="s">
        <v>174</v>
      </c>
      <c r="D66" s="315" t="s">
        <v>174</v>
      </c>
      <c r="E66" s="315" t="s">
        <v>71</v>
      </c>
      <c r="F66" s="315" t="s">
        <v>175</v>
      </c>
      <c r="G66" s="315" t="s">
        <v>12</v>
      </c>
      <c r="H66" s="317" t="s">
        <v>176</v>
      </c>
      <c r="I66" s="318" t="s">
        <v>176</v>
      </c>
      <c r="J66" s="318" t="s">
        <v>177</v>
      </c>
      <c r="K66" s="319" t="s">
        <v>19202</v>
      </c>
      <c r="L66" s="319" t="s">
        <v>19202</v>
      </c>
      <c r="M66" s="319" t="s">
        <v>19202</v>
      </c>
      <c r="N66" s="319" t="s">
        <v>19202</v>
      </c>
      <c r="O66" s="319" t="s">
        <v>19202</v>
      </c>
      <c r="P66" s="320" t="s">
        <v>19204</v>
      </c>
      <c r="Q66" s="321" t="s">
        <v>19202</v>
      </c>
      <c r="R66" s="150" t="str">
        <f ca="1">IF(ISERROR($V66),"",OFFSET('Smelter Look-up'!$C$4,$V66-4,0)&amp;"")</f>
        <v>Jingmen GEM Co., Ltd.</v>
      </c>
      <c r="S66" s="156" t="str">
        <f t="shared" ca="1" si="5"/>
        <v>CN</v>
      </c>
      <c r="T66" s="156" t="str">
        <f ca="1">IF(B66="","",IF(ISERROR(MATCH($J66,SorP!$B$1:$B$6226,0)),"",INDIRECT("'SorP'!$A$"&amp;MATCH($S66&amp;$J66,SorP!C:C,0))))</f>
        <v>CN-HB</v>
      </c>
      <c r="U66" s="169"/>
      <c r="V66" s="170">
        <f>IF(C66="",NA(),MATCH($B66&amp;$C66,'Smelter Look-up'!$J:$J,0))</f>
        <v>62</v>
      </c>
      <c r="X66" s="171">
        <f t="shared" si="3"/>
        <v>0</v>
      </c>
      <c r="AB66" s="171" t="str">
        <f t="shared" si="4"/>
        <v>CobaltJingmen GEM Co., Ltd.</v>
      </c>
    </row>
    <row r="67" spans="1:28" s="171" customFormat="1" ht="27">
      <c r="A67" s="324" t="s">
        <v>180</v>
      </c>
      <c r="B67" s="315" t="s">
        <v>43</v>
      </c>
      <c r="C67" s="316" t="s">
        <v>187</v>
      </c>
      <c r="D67" s="315" t="s">
        <v>178</v>
      </c>
      <c r="E67" s="315" t="s">
        <v>179</v>
      </c>
      <c r="F67" s="315" t="s">
        <v>180</v>
      </c>
      <c r="G67" s="315" t="s">
        <v>19202</v>
      </c>
      <c r="H67" s="317" t="s">
        <v>19202</v>
      </c>
      <c r="I67" s="318" t="s">
        <v>19202</v>
      </c>
      <c r="J67" s="318" t="s">
        <v>19202</v>
      </c>
      <c r="K67" s="319" t="s">
        <v>19202</v>
      </c>
      <c r="L67" s="319" t="s">
        <v>19202</v>
      </c>
      <c r="M67" s="319" t="s">
        <v>19202</v>
      </c>
      <c r="N67" s="319" t="s">
        <v>19202</v>
      </c>
      <c r="O67" s="319" t="s">
        <v>19202</v>
      </c>
      <c r="P67" s="320" t="s">
        <v>19204</v>
      </c>
      <c r="Q67" s="321" t="s">
        <v>19202</v>
      </c>
      <c r="R67" s="150" t="str">
        <f ca="1">IF(ISERROR($V67),"",OFFSET('Smelter Look-up'!$C$4,$V67-4,0)&amp;"")</f>
        <v>JSC Kolskaya Mining and Metallurgical Company (Kola MMC)</v>
      </c>
      <c r="S67" s="156" t="str">
        <f t="shared" ca="1" si="5"/>
        <v>RU</v>
      </c>
      <c r="T67" s="156" t="str">
        <f ca="1">IF(B67="","",IF(ISERROR(MATCH($J67,SorP!$B$1:$B$6226,0)),"",INDIRECT("'SorP'!$A$"&amp;MATCH($S67&amp;$J67,SorP!C:C,0))))</f>
        <v/>
      </c>
      <c r="U67" s="169"/>
      <c r="V67" s="170">
        <f>IF(C67="",NA(),MATCH($B67&amp;$C67,'Smelter Look-up'!$J:$J,0))</f>
        <v>68</v>
      </c>
      <c r="X67" s="171">
        <f t="shared" si="3"/>
        <v>0</v>
      </c>
      <c r="AB67" s="171" t="str">
        <f t="shared" si="4"/>
        <v>CobaltKola Mining and Metallurgical Company</v>
      </c>
    </row>
    <row r="68" spans="1:28" s="171" customFormat="1" ht="27">
      <c r="A68" s="324" t="s">
        <v>19202</v>
      </c>
      <c r="B68" s="315" t="s">
        <v>43</v>
      </c>
      <c r="C68" s="316" t="s">
        <v>49</v>
      </c>
      <c r="D68" s="315" t="s">
        <v>19222</v>
      </c>
      <c r="E68" s="315" t="s">
        <v>71</v>
      </c>
      <c r="F68" s="315" t="s">
        <v>19202</v>
      </c>
      <c r="G68" s="315" t="s">
        <v>19203</v>
      </c>
      <c r="H68" s="317" t="s">
        <v>19202</v>
      </c>
      <c r="I68" s="318" t="s">
        <v>19202</v>
      </c>
      <c r="J68" s="318" t="s">
        <v>19202</v>
      </c>
      <c r="K68" s="319" t="s">
        <v>19202</v>
      </c>
      <c r="L68" s="319" t="s">
        <v>19202</v>
      </c>
      <c r="M68" s="319" t="s">
        <v>19202</v>
      </c>
      <c r="N68" s="319" t="s">
        <v>19202</v>
      </c>
      <c r="O68" s="319" t="s">
        <v>19202</v>
      </c>
      <c r="P68" s="320" t="s">
        <v>19204</v>
      </c>
      <c r="Q68" s="321" t="s">
        <v>19202</v>
      </c>
      <c r="R68" s="150" t="str">
        <f ca="1">IF(ISERROR($V68),"",OFFSET('Smelter Look-up'!$C$4,$V68-4,0)&amp;"")</f>
        <v/>
      </c>
      <c r="S68" s="156" t="str">
        <f t="shared" ca="1" si="5"/>
        <v>CN</v>
      </c>
      <c r="T68" s="156" t="str">
        <f ca="1">IF(B68="","",IF(ISERROR(MATCH($J68,SorP!$B$1:$B$6226,0)),"",INDIRECT("'SorP'!$A$"&amp;MATCH($S68&amp;$J68,SorP!C:C,0))))</f>
        <v/>
      </c>
      <c r="U68" s="169"/>
      <c r="V68" s="170" t="e">
        <f>IF(C68="",NA(),MATCH($B68&amp;$C68,'Smelter Look-up'!$J:$J,0))</f>
        <v>#N/A</v>
      </c>
      <c r="X68" s="171">
        <f t="shared" si="3"/>
        <v>0</v>
      </c>
      <c r="AB68" s="171" t="str">
        <f t="shared" si="4"/>
        <v>CobaltSmelter Not Listed</v>
      </c>
    </row>
    <row r="69" spans="1:28" s="171" customFormat="1" ht="27">
      <c r="A69" s="324" t="s">
        <v>191</v>
      </c>
      <c r="B69" s="315" t="s">
        <v>43</v>
      </c>
      <c r="C69" s="316" t="s">
        <v>190</v>
      </c>
      <c r="D69" s="315" t="s">
        <v>190</v>
      </c>
      <c r="E69" s="315" t="s">
        <v>71</v>
      </c>
      <c r="F69" s="315" t="s">
        <v>191</v>
      </c>
      <c r="G69" s="315" t="s">
        <v>12</v>
      </c>
      <c r="H69" s="317" t="s">
        <v>19202</v>
      </c>
      <c r="I69" s="318" t="s">
        <v>192</v>
      </c>
      <c r="J69" s="318" t="s">
        <v>19223</v>
      </c>
      <c r="K69" s="319" t="s">
        <v>19202</v>
      </c>
      <c r="L69" s="319" t="s">
        <v>19202</v>
      </c>
      <c r="M69" s="319" t="s">
        <v>19202</v>
      </c>
      <c r="N69" s="319" t="s">
        <v>19202</v>
      </c>
      <c r="O69" s="319" t="s">
        <v>19202</v>
      </c>
      <c r="P69" s="320" t="s">
        <v>19204</v>
      </c>
      <c r="Q69" s="321" t="s">
        <v>19202</v>
      </c>
      <c r="R69" s="150" t="str">
        <f ca="1">IF(ISERROR($V69),"",OFFSET('Smelter Look-up'!$C$4,$V69-4,0)&amp;"")</f>
        <v>Lanzhou Jinchuan Advanced Materials Technology Co., Ltd.</v>
      </c>
      <c r="S69" s="156" t="str">
        <f t="shared" ca="1" si="5"/>
        <v>CN</v>
      </c>
      <c r="T69" s="156" t="str">
        <f ca="1">IF(B69="","",IF(ISERROR(MATCH($J69,SorP!$B$1:$B$6226,0)),"",INDIRECT("'SorP'!$A$"&amp;MATCH($S69&amp;$J69,SorP!C:C,0))))</f>
        <v/>
      </c>
      <c r="U69" s="169"/>
      <c r="V69" s="170">
        <f>IF(C69="",NA(),MATCH($B69&amp;$C69,'Smelter Look-up'!$J:$J,0))</f>
        <v>74</v>
      </c>
      <c r="X69" s="171">
        <f t="shared" si="3"/>
        <v>0</v>
      </c>
      <c r="AB69" s="171" t="str">
        <f t="shared" si="4"/>
        <v>CobaltLanzhou Jinchuan Advanced Materials Technology Co., Ltd.</v>
      </c>
    </row>
    <row r="70" spans="1:28" s="171" customFormat="1" ht="27">
      <c r="A70" s="324" t="s">
        <v>191</v>
      </c>
      <c r="B70" s="315" t="s">
        <v>43</v>
      </c>
      <c r="C70" s="316" t="s">
        <v>190</v>
      </c>
      <c r="D70" s="315" t="s">
        <v>190</v>
      </c>
      <c r="E70" s="315" t="s">
        <v>71</v>
      </c>
      <c r="F70" s="315" t="s">
        <v>191</v>
      </c>
      <c r="G70" s="315" t="s">
        <v>12</v>
      </c>
      <c r="H70" s="317" t="s">
        <v>19202</v>
      </c>
      <c r="I70" s="318" t="s">
        <v>192</v>
      </c>
      <c r="J70" s="318" t="s">
        <v>193</v>
      </c>
      <c r="K70" s="319" t="s">
        <v>19202</v>
      </c>
      <c r="L70" s="319" t="s">
        <v>19202</v>
      </c>
      <c r="M70" s="319" t="s">
        <v>19202</v>
      </c>
      <c r="N70" s="319" t="s">
        <v>19202</v>
      </c>
      <c r="O70" s="319" t="s">
        <v>19202</v>
      </c>
      <c r="P70" s="320" t="s">
        <v>19204</v>
      </c>
      <c r="Q70" s="321" t="s">
        <v>19202</v>
      </c>
      <c r="R70" s="150" t="str">
        <f ca="1">IF(ISERROR($V70),"",OFFSET('Smelter Look-up'!$C$4,$V70-4,0)&amp;"")</f>
        <v>Lanzhou Jinchuan Advanced Materials Technology Co., Ltd.</v>
      </c>
      <c r="S70" s="156" t="str">
        <f t="shared" ca="1" si="5"/>
        <v>CN</v>
      </c>
      <c r="T70" s="156" t="str">
        <f ca="1">IF(B70="","",IF(ISERROR(MATCH($J70,SorP!$B$1:$B$6226,0)),"",INDIRECT("'SorP'!$A$"&amp;MATCH($S70&amp;$J70,SorP!C:C,0))))</f>
        <v>CN-GS</v>
      </c>
      <c r="U70" s="169"/>
      <c r="V70" s="170">
        <f>IF(C70="",NA(),MATCH($B70&amp;$C70,'Smelter Look-up'!$J:$J,0))</f>
        <v>74</v>
      </c>
      <c r="X70" s="171">
        <f t="shared" si="3"/>
        <v>0</v>
      </c>
      <c r="AB70" s="171" t="str">
        <f t="shared" si="4"/>
        <v>CobaltLanzhou Jinchuan Advanced Materials Technology Co., Ltd.</v>
      </c>
    </row>
    <row r="71" spans="1:28" s="171" customFormat="1" ht="27">
      <c r="A71" s="324" t="s">
        <v>191</v>
      </c>
      <c r="B71" s="315" t="s">
        <v>43</v>
      </c>
      <c r="C71" s="316" t="s">
        <v>190</v>
      </c>
      <c r="D71" s="315" t="s">
        <v>190</v>
      </c>
      <c r="E71" s="315" t="s">
        <v>71</v>
      </c>
      <c r="F71" s="315" t="s">
        <v>191</v>
      </c>
      <c r="G71" s="315" t="s">
        <v>12</v>
      </c>
      <c r="H71" s="317" t="s">
        <v>19202</v>
      </c>
      <c r="I71" s="318" t="s">
        <v>192</v>
      </c>
      <c r="J71" s="318" t="s">
        <v>193</v>
      </c>
      <c r="K71" s="319" t="s">
        <v>19202</v>
      </c>
      <c r="L71" s="319" t="s">
        <v>19202</v>
      </c>
      <c r="M71" s="319" t="s">
        <v>19202</v>
      </c>
      <c r="N71" s="319" t="s">
        <v>19202</v>
      </c>
      <c r="O71" s="319" t="s">
        <v>19202</v>
      </c>
      <c r="P71" s="320" t="s">
        <v>19224</v>
      </c>
      <c r="Q71" s="321" t="s">
        <v>19202</v>
      </c>
      <c r="R71" s="150" t="str">
        <f ca="1">IF(ISERROR($V71),"",OFFSET('Smelter Look-up'!$C$4,$V71-4,0)&amp;"")</f>
        <v>Lanzhou Jinchuan Advanced Materials Technology Co., Ltd.</v>
      </c>
      <c r="S71" s="156" t="str">
        <f t="shared" ca="1" si="5"/>
        <v>CN</v>
      </c>
      <c r="T71" s="156" t="str">
        <f ca="1">IF(B71="","",IF(ISERROR(MATCH($J71,SorP!$B$1:$B$6226,0)),"",INDIRECT("'SorP'!$A$"&amp;MATCH($S71&amp;$J71,SorP!C:C,0))))</f>
        <v>CN-GS</v>
      </c>
      <c r="U71" s="169"/>
      <c r="V71" s="170">
        <f>IF(C71="",NA(),MATCH($B71&amp;$C71,'Smelter Look-up'!$J:$J,0))</f>
        <v>74</v>
      </c>
      <c r="X71" s="171">
        <f t="shared" si="3"/>
        <v>0</v>
      </c>
      <c r="AB71" s="171" t="str">
        <f t="shared" si="4"/>
        <v>CobaltLanzhou Jinchuan Advanced Materials Technology Co., Ltd.</v>
      </c>
    </row>
    <row r="72" spans="1:28" s="171" customFormat="1" ht="27">
      <c r="A72" s="324" t="s">
        <v>191</v>
      </c>
      <c r="B72" s="315" t="s">
        <v>43</v>
      </c>
      <c r="C72" s="316" t="s">
        <v>190</v>
      </c>
      <c r="D72" s="315" t="s">
        <v>190</v>
      </c>
      <c r="E72" s="315" t="s">
        <v>71</v>
      </c>
      <c r="F72" s="315" t="s">
        <v>191</v>
      </c>
      <c r="G72" s="315" t="s">
        <v>12</v>
      </c>
      <c r="H72" s="323" t="s">
        <v>19208</v>
      </c>
      <c r="I72" s="318" t="s">
        <v>192</v>
      </c>
      <c r="J72" s="318" t="s">
        <v>193</v>
      </c>
      <c r="K72" s="319" t="s">
        <v>19202</v>
      </c>
      <c r="L72" s="319" t="s">
        <v>19202</v>
      </c>
      <c r="M72" s="319" t="s">
        <v>19202</v>
      </c>
      <c r="N72" s="319" t="s">
        <v>19202</v>
      </c>
      <c r="O72" s="319" t="s">
        <v>19202</v>
      </c>
      <c r="P72" s="320" t="s">
        <v>19204</v>
      </c>
      <c r="Q72" s="321" t="s">
        <v>19202</v>
      </c>
      <c r="R72" s="150" t="str">
        <f ca="1">IF(ISERROR($V72),"",OFFSET('Smelter Look-up'!$C$4,$V72-4,0)&amp;"")</f>
        <v>Lanzhou Jinchuan Advanced Materials Technology Co., Ltd.</v>
      </c>
      <c r="S72" s="156" t="str">
        <f t="shared" ca="1" si="5"/>
        <v>CN</v>
      </c>
      <c r="T72" s="156" t="str">
        <f ca="1">IF(B72="","",IF(ISERROR(MATCH($J72,SorP!$B$1:$B$6226,0)),"",INDIRECT("'SorP'!$A$"&amp;MATCH($S72&amp;$J72,SorP!C:C,0))))</f>
        <v>CN-GS</v>
      </c>
      <c r="U72" s="169"/>
      <c r="V72" s="170">
        <f>IF(C72="",NA(),MATCH($B72&amp;$C72,'Smelter Look-up'!$J:$J,0))</f>
        <v>74</v>
      </c>
      <c r="X72" s="171">
        <f t="shared" si="3"/>
        <v>0</v>
      </c>
      <c r="AB72" s="171" t="str">
        <f t="shared" si="4"/>
        <v>CobaltLanzhou Jinchuan Advanced Materials Technology Co., Ltd.</v>
      </c>
    </row>
    <row r="73" spans="1:28" s="171" customFormat="1" ht="27">
      <c r="A73" s="324" t="s">
        <v>191</v>
      </c>
      <c r="B73" s="315" t="s">
        <v>43</v>
      </c>
      <c r="C73" s="316" t="s">
        <v>190</v>
      </c>
      <c r="D73" s="315" t="s">
        <v>190</v>
      </c>
      <c r="E73" s="315" t="s">
        <v>71</v>
      </c>
      <c r="F73" s="315" t="s">
        <v>191</v>
      </c>
      <c r="G73" s="315" t="s">
        <v>12</v>
      </c>
      <c r="H73" s="323" t="s">
        <v>19208</v>
      </c>
      <c r="I73" s="318" t="s">
        <v>192</v>
      </c>
      <c r="J73" s="318" t="s">
        <v>193</v>
      </c>
      <c r="K73" s="319" t="s">
        <v>19225</v>
      </c>
      <c r="L73" s="319" t="s">
        <v>19226</v>
      </c>
      <c r="M73" s="319" t="s">
        <v>19202</v>
      </c>
      <c r="N73" s="319" t="s">
        <v>19227</v>
      </c>
      <c r="O73" s="319" t="s">
        <v>71</v>
      </c>
      <c r="P73" s="320" t="s">
        <v>19204</v>
      </c>
      <c r="Q73" s="321" t="s">
        <v>19202</v>
      </c>
      <c r="R73" s="150" t="str">
        <f ca="1">IF(ISERROR($V73),"",OFFSET('Smelter Look-up'!$C$4,$V73-4,0)&amp;"")</f>
        <v>Lanzhou Jinchuan Advanced Materials Technology Co., Ltd.</v>
      </c>
      <c r="S73" s="156" t="str">
        <f t="shared" ca="1" si="5"/>
        <v>CN</v>
      </c>
      <c r="T73" s="156" t="str">
        <f ca="1">IF(B73="","",IF(ISERROR(MATCH($J73,SorP!$B$1:$B$6226,0)),"",INDIRECT("'SorP'!$A$"&amp;MATCH($S73&amp;$J73,SorP!C:C,0))))</f>
        <v>CN-GS</v>
      </c>
      <c r="U73" s="169"/>
      <c r="V73" s="170">
        <f>IF(C73="",NA(),MATCH($B73&amp;$C73,'Smelter Look-up'!$J:$J,0))</f>
        <v>74</v>
      </c>
      <c r="X73" s="171">
        <f t="shared" si="3"/>
        <v>0</v>
      </c>
      <c r="AB73" s="171" t="str">
        <f t="shared" si="4"/>
        <v>CobaltLanzhou Jinchuan Advanced Materials Technology Co., Ltd.</v>
      </c>
    </row>
    <row r="74" spans="1:28" s="171" customFormat="1" ht="27">
      <c r="A74" s="324" t="s">
        <v>191</v>
      </c>
      <c r="B74" s="315" t="s">
        <v>43</v>
      </c>
      <c r="C74" s="316" t="s">
        <v>190</v>
      </c>
      <c r="D74" s="315" t="s">
        <v>190</v>
      </c>
      <c r="E74" s="315" t="s">
        <v>71</v>
      </c>
      <c r="F74" s="315" t="s">
        <v>191</v>
      </c>
      <c r="G74" s="315" t="s">
        <v>12</v>
      </c>
      <c r="H74" s="317" t="s">
        <v>192</v>
      </c>
      <c r="I74" s="318" t="s">
        <v>192</v>
      </c>
      <c r="J74" s="318" t="s">
        <v>193</v>
      </c>
      <c r="K74" s="319" t="s">
        <v>19202</v>
      </c>
      <c r="L74" s="319" t="s">
        <v>19202</v>
      </c>
      <c r="M74" s="319" t="s">
        <v>19202</v>
      </c>
      <c r="N74" s="319" t="s">
        <v>19202</v>
      </c>
      <c r="O74" s="319" t="s">
        <v>19202</v>
      </c>
      <c r="P74" s="320" t="s">
        <v>19204</v>
      </c>
      <c r="Q74" s="321" t="s">
        <v>19202</v>
      </c>
      <c r="R74" s="150" t="str">
        <f ca="1">IF(ISERROR($V74),"",OFFSET('Smelter Look-up'!$C$4,$V74-4,0)&amp;"")</f>
        <v>Lanzhou Jinchuan Advanced Materials Technology Co., Ltd.</v>
      </c>
      <c r="S74" s="156" t="str">
        <f t="shared" ca="1" si="5"/>
        <v>CN</v>
      </c>
      <c r="T74" s="156" t="str">
        <f ca="1">IF(B74="","",IF(ISERROR(MATCH($J74,SorP!$B$1:$B$6226,0)),"",INDIRECT("'SorP'!$A$"&amp;MATCH($S74&amp;$J74,SorP!C:C,0))))</f>
        <v>CN-GS</v>
      </c>
      <c r="U74" s="169"/>
      <c r="V74" s="170">
        <f>IF(C74="",NA(),MATCH($B74&amp;$C74,'Smelter Look-up'!$J:$J,0))</f>
        <v>74</v>
      </c>
      <c r="X74" s="171">
        <f t="shared" si="3"/>
        <v>0</v>
      </c>
      <c r="AB74" s="171" t="str">
        <f t="shared" si="4"/>
        <v>CobaltLanzhou Jinchuan Advanced Materials Technology Co., Ltd.</v>
      </c>
    </row>
    <row r="75" spans="1:28" s="171" customFormat="1" ht="20">
      <c r="A75" s="324" t="s">
        <v>231</v>
      </c>
      <c r="B75" s="315" t="s">
        <v>43</v>
      </c>
      <c r="C75" s="316" t="s">
        <v>230</v>
      </c>
      <c r="D75" s="315" t="s">
        <v>230</v>
      </c>
      <c r="E75" s="315" t="s">
        <v>77</v>
      </c>
      <c r="F75" s="315" t="s">
        <v>231</v>
      </c>
      <c r="G75" s="315" t="s">
        <v>12</v>
      </c>
      <c r="H75" s="317" t="s">
        <v>19202</v>
      </c>
      <c r="I75" s="318" t="s">
        <v>232</v>
      </c>
      <c r="J75" s="318" t="s">
        <v>233</v>
      </c>
      <c r="K75" s="319" t="s">
        <v>19202</v>
      </c>
      <c r="L75" s="319" t="s">
        <v>19202</v>
      </c>
      <c r="M75" s="319" t="s">
        <v>19202</v>
      </c>
      <c r="N75" s="319" t="s">
        <v>19202</v>
      </c>
      <c r="O75" s="319" t="s">
        <v>19202</v>
      </c>
      <c r="P75" s="320" t="s">
        <v>19204</v>
      </c>
      <c r="Q75" s="321" t="s">
        <v>19202</v>
      </c>
      <c r="R75" s="150" t="str">
        <f ca="1">IF(ISERROR($V75),"",OFFSET('Smelter Look-up'!$C$4,$V75-4,0)&amp;"")</f>
        <v>Mine de Bou-Azzer</v>
      </c>
      <c r="S75" s="156" t="str">
        <f t="shared" ca="1" si="5"/>
        <v>MA</v>
      </c>
      <c r="T75" s="156" t="str">
        <f ca="1">IF(B75="","",IF(ISERROR(MATCH($J75,SorP!$B$1:$B$6226,0)),"",INDIRECT("'SorP'!$A$"&amp;MATCH($S75&amp;$J75,SorP!C:C,0))))</f>
        <v>MA-08</v>
      </c>
      <c r="U75" s="169"/>
      <c r="V75" s="170">
        <f>IF(C75="",NA(),MATCH($B75&amp;$C75,'Smelter Look-up'!$J:$J,0))</f>
        <v>91</v>
      </c>
      <c r="X75" s="171">
        <f t="shared" si="3"/>
        <v>0</v>
      </c>
      <c r="AB75" s="171" t="str">
        <f t="shared" si="4"/>
        <v>CobaltMine de Bou-Azzer</v>
      </c>
    </row>
    <row r="76" spans="1:28" s="171" customFormat="1" ht="20">
      <c r="A76" s="324" t="s">
        <v>231</v>
      </c>
      <c r="B76" s="315" t="s">
        <v>43</v>
      </c>
      <c r="C76" s="316" t="s">
        <v>230</v>
      </c>
      <c r="D76" s="315" t="s">
        <v>230</v>
      </c>
      <c r="E76" s="315" t="s">
        <v>77</v>
      </c>
      <c r="F76" s="315" t="s">
        <v>231</v>
      </c>
      <c r="G76" s="315" t="s">
        <v>12</v>
      </c>
      <c r="H76" s="317" t="s">
        <v>232</v>
      </c>
      <c r="I76" s="318" t="s">
        <v>232</v>
      </c>
      <c r="J76" s="318" t="s">
        <v>233</v>
      </c>
      <c r="K76" s="319" t="s">
        <v>19202</v>
      </c>
      <c r="L76" s="319" t="s">
        <v>19202</v>
      </c>
      <c r="M76" s="319" t="s">
        <v>19202</v>
      </c>
      <c r="N76" s="319" t="s">
        <v>19202</v>
      </c>
      <c r="O76" s="319" t="s">
        <v>19202</v>
      </c>
      <c r="P76" s="320" t="s">
        <v>19204</v>
      </c>
      <c r="Q76" s="321" t="s">
        <v>19202</v>
      </c>
      <c r="R76" s="150" t="str">
        <f ca="1">IF(ISERROR($V76),"",OFFSET('Smelter Look-up'!$C$4,$V76-4,0)&amp;"")</f>
        <v>Mine de Bou-Azzer</v>
      </c>
      <c r="S76" s="156" t="str">
        <f t="shared" ca="1" si="5"/>
        <v>MA</v>
      </c>
      <c r="T76" s="156" t="str">
        <f ca="1">IF(B76="","",IF(ISERROR(MATCH($J76,SorP!$B$1:$B$6226,0)),"",INDIRECT("'SorP'!$A$"&amp;MATCH($S76&amp;$J76,SorP!C:C,0))))</f>
        <v>MA-08</v>
      </c>
      <c r="U76" s="169"/>
      <c r="V76" s="170">
        <f>IF(C76="",NA(),MATCH($B76&amp;$C76,'Smelter Look-up'!$J:$J,0))</f>
        <v>91</v>
      </c>
      <c r="X76" s="171">
        <f t="shared" si="3"/>
        <v>0</v>
      </c>
      <c r="AB76" s="171" t="str">
        <f t="shared" si="4"/>
        <v>CobaltMine de Bou-Azzer</v>
      </c>
    </row>
    <row r="77" spans="1:28" s="171" customFormat="1" ht="20">
      <c r="A77" s="324" t="s">
        <v>226</v>
      </c>
      <c r="B77" s="315" t="s">
        <v>43</v>
      </c>
      <c r="C77" s="316" t="s">
        <v>224</v>
      </c>
      <c r="D77" s="315" t="s">
        <v>224</v>
      </c>
      <c r="E77" s="315" t="s">
        <v>225</v>
      </c>
      <c r="F77" s="315" t="s">
        <v>226</v>
      </c>
      <c r="G77" s="315" t="s">
        <v>12</v>
      </c>
      <c r="H77" s="317" t="s">
        <v>19202</v>
      </c>
      <c r="I77" s="318" t="s">
        <v>227</v>
      </c>
      <c r="J77" s="318" t="s">
        <v>228</v>
      </c>
      <c r="K77" s="319" t="s">
        <v>19202</v>
      </c>
      <c r="L77" s="319" t="s">
        <v>19202</v>
      </c>
      <c r="M77" s="319" t="s">
        <v>19202</v>
      </c>
      <c r="N77" s="319" t="s">
        <v>19202</v>
      </c>
      <c r="O77" s="319" t="s">
        <v>19202</v>
      </c>
      <c r="P77" s="320" t="s">
        <v>19204</v>
      </c>
      <c r="Q77" s="321" t="s">
        <v>19202</v>
      </c>
      <c r="R77" s="150" t="str">
        <f ca="1">IF(ISERROR($V77),"",OFFSET('Smelter Look-up'!$C$4,$V77-4,0)&amp;"")</f>
        <v>Murrin Murrin Nickel Cobalt Plant</v>
      </c>
      <c r="S77" s="156" t="str">
        <f t="shared" ca="1" si="5"/>
        <v>AU</v>
      </c>
      <c r="T77" s="156" t="str">
        <f ca="1">IF(B77="","",IF(ISERROR(MATCH($J77,SorP!$B$1:$B$6226,0)),"",INDIRECT("'SorP'!$A$"&amp;MATCH($S77&amp;$J77,SorP!C:C,0))))</f>
        <v>AU-WA</v>
      </c>
      <c r="U77" s="169"/>
      <c r="V77" s="170">
        <f>IF(C77="",NA(),MATCH($B77&amp;$C77,'Smelter Look-up'!$J:$J,0))</f>
        <v>94</v>
      </c>
      <c r="X77" s="171">
        <f t="shared" si="3"/>
        <v>0</v>
      </c>
      <c r="AB77" s="171" t="str">
        <f t="shared" si="4"/>
        <v>CobaltMurrin Murrin Nickel Cobalt Plant</v>
      </c>
    </row>
    <row r="78" spans="1:28" s="171" customFormat="1" ht="20">
      <c r="A78" s="324" t="s">
        <v>226</v>
      </c>
      <c r="B78" s="315" t="s">
        <v>43</v>
      </c>
      <c r="C78" s="316" t="s">
        <v>224</v>
      </c>
      <c r="D78" s="315" t="s">
        <v>224</v>
      </c>
      <c r="E78" s="315" t="s">
        <v>225</v>
      </c>
      <c r="F78" s="315" t="s">
        <v>226</v>
      </c>
      <c r="G78" s="315" t="s">
        <v>12</v>
      </c>
      <c r="H78" s="323" t="s">
        <v>19208</v>
      </c>
      <c r="I78" s="318" t="s">
        <v>227</v>
      </c>
      <c r="J78" s="318" t="s">
        <v>228</v>
      </c>
      <c r="K78" s="319" t="s">
        <v>19202</v>
      </c>
      <c r="L78" s="319" t="s">
        <v>19202</v>
      </c>
      <c r="M78" s="319" t="s">
        <v>19202</v>
      </c>
      <c r="N78" s="319" t="s">
        <v>19202</v>
      </c>
      <c r="O78" s="319" t="s">
        <v>19202</v>
      </c>
      <c r="P78" s="320" t="s">
        <v>19204</v>
      </c>
      <c r="Q78" s="321" t="s">
        <v>19202</v>
      </c>
      <c r="R78" s="150" t="str">
        <f ca="1">IF(ISERROR($V78),"",OFFSET('Smelter Look-up'!$C$4,$V78-4,0)&amp;"")</f>
        <v>Murrin Murrin Nickel Cobalt Plant</v>
      </c>
      <c r="S78" s="156" t="str">
        <f t="shared" ca="1" si="5"/>
        <v>AU</v>
      </c>
      <c r="T78" s="156" t="str">
        <f ca="1">IF(B78="","",IF(ISERROR(MATCH($J78,SorP!$B$1:$B$6226,0)),"",INDIRECT("'SorP'!$A$"&amp;MATCH($S78&amp;$J78,SorP!C:C,0))))</f>
        <v>AU-WA</v>
      </c>
      <c r="U78" s="169"/>
      <c r="V78" s="170">
        <f>IF(C78="",NA(),MATCH($B78&amp;$C78,'Smelter Look-up'!$J:$J,0))</f>
        <v>94</v>
      </c>
      <c r="X78" s="171">
        <f t="shared" si="3"/>
        <v>0</v>
      </c>
      <c r="AB78" s="171" t="str">
        <f t="shared" si="4"/>
        <v>CobaltMurrin Murrin Nickel Cobalt Plant</v>
      </c>
    </row>
    <row r="79" spans="1:28" s="171" customFormat="1" ht="20">
      <c r="A79" s="324" t="s">
        <v>226</v>
      </c>
      <c r="B79" s="315" t="s">
        <v>43</v>
      </c>
      <c r="C79" s="316" t="s">
        <v>224</v>
      </c>
      <c r="D79" s="315" t="s">
        <v>224</v>
      </c>
      <c r="E79" s="315" t="s">
        <v>225</v>
      </c>
      <c r="F79" s="315" t="s">
        <v>226</v>
      </c>
      <c r="G79" s="315" t="s">
        <v>12</v>
      </c>
      <c r="H79" s="317" t="s">
        <v>227</v>
      </c>
      <c r="I79" s="318" t="s">
        <v>227</v>
      </c>
      <c r="J79" s="318" t="s">
        <v>228</v>
      </c>
      <c r="K79" s="319" t="s">
        <v>19202</v>
      </c>
      <c r="L79" s="319" t="s">
        <v>19202</v>
      </c>
      <c r="M79" s="319" t="s">
        <v>19202</v>
      </c>
      <c r="N79" s="319" t="s">
        <v>19202</v>
      </c>
      <c r="O79" s="319" t="s">
        <v>19202</v>
      </c>
      <c r="P79" s="320" t="s">
        <v>19204</v>
      </c>
      <c r="Q79" s="321" t="s">
        <v>19202</v>
      </c>
      <c r="R79" s="150" t="str">
        <f ca="1">IF(ISERROR($V79),"",OFFSET('Smelter Look-up'!$C$4,$V79-4,0)&amp;"")</f>
        <v>Murrin Murrin Nickel Cobalt Plant</v>
      </c>
      <c r="S79" s="156" t="str">
        <f t="shared" ca="1" si="5"/>
        <v>AU</v>
      </c>
      <c r="T79" s="156" t="str">
        <f ca="1">IF(B79="","",IF(ISERROR(MATCH($J79,SorP!$B$1:$B$6226,0)),"",INDIRECT("'SorP'!$A$"&amp;MATCH($S79&amp;$J79,SorP!C:C,0))))</f>
        <v>AU-WA</v>
      </c>
      <c r="U79" s="169"/>
      <c r="V79" s="170">
        <f>IF(C79="",NA(),MATCH($B79&amp;$C79,'Smelter Look-up'!$J:$J,0))</f>
        <v>94</v>
      </c>
      <c r="X79" s="171">
        <f t="shared" si="3"/>
        <v>0</v>
      </c>
      <c r="AB79" s="171" t="str">
        <f t="shared" si="4"/>
        <v>CobaltMurrin Murrin Nickel Cobalt Plant</v>
      </c>
    </row>
    <row r="80" spans="1:28" s="171" customFormat="1" ht="20">
      <c r="A80" s="324" t="s">
        <v>239</v>
      </c>
      <c r="B80" s="315" t="s">
        <v>43</v>
      </c>
      <c r="C80" s="316" t="s">
        <v>238</v>
      </c>
      <c r="D80" s="315" t="s">
        <v>238</v>
      </c>
      <c r="E80" s="315" t="s">
        <v>71</v>
      </c>
      <c r="F80" s="315" t="s">
        <v>239</v>
      </c>
      <c r="G80" s="315" t="s">
        <v>12</v>
      </c>
      <c r="H80" s="317" t="s">
        <v>19202</v>
      </c>
      <c r="I80" s="318" t="s">
        <v>240</v>
      </c>
      <c r="J80" s="318" t="s">
        <v>120</v>
      </c>
      <c r="K80" s="319" t="s">
        <v>19202</v>
      </c>
      <c r="L80" s="319" t="s">
        <v>19202</v>
      </c>
      <c r="M80" s="319" t="s">
        <v>19202</v>
      </c>
      <c r="N80" s="319" t="s">
        <v>19202</v>
      </c>
      <c r="O80" s="319" t="s">
        <v>19202</v>
      </c>
      <c r="P80" s="320" t="s">
        <v>19204</v>
      </c>
      <c r="Q80" s="321" t="s">
        <v>19202</v>
      </c>
      <c r="R80" s="150" t="str">
        <f ca="1">IF(ISERROR($V80),"",OFFSET('Smelter Look-up'!$C$4,$V80-4,0)&amp;"")</f>
        <v>Nanjing Hanrui Cobalt</v>
      </c>
      <c r="S80" s="156" t="str">
        <f t="shared" ca="1" si="5"/>
        <v>CN</v>
      </c>
      <c r="T80" s="156" t="str">
        <f ca="1">IF(B80="","",IF(ISERROR(MATCH($J80,SorP!$B$1:$B$6226,0)),"",INDIRECT("'SorP'!$A$"&amp;MATCH($S80&amp;$J80,SorP!C:C,0))))</f>
        <v>CN-JS</v>
      </c>
      <c r="U80" s="169"/>
      <c r="V80" s="170">
        <f>IF(C80="",NA(),MATCH($B80&amp;$C80,'Smelter Look-up'!$J:$J,0))</f>
        <v>101</v>
      </c>
      <c r="X80" s="171">
        <f t="shared" si="3"/>
        <v>0</v>
      </c>
      <c r="AB80" s="171" t="str">
        <f t="shared" si="4"/>
        <v>CobaltNanjing Hanrui Cobalt</v>
      </c>
    </row>
    <row r="81" spans="1:28" s="171" customFormat="1" ht="20">
      <c r="A81" s="324" t="s">
        <v>239</v>
      </c>
      <c r="B81" s="315" t="s">
        <v>43</v>
      </c>
      <c r="C81" s="316" t="s">
        <v>238</v>
      </c>
      <c r="D81" s="315" t="s">
        <v>238</v>
      </c>
      <c r="E81" s="315" t="s">
        <v>71</v>
      </c>
      <c r="F81" s="315" t="s">
        <v>239</v>
      </c>
      <c r="G81" s="315" t="s">
        <v>12</v>
      </c>
      <c r="H81" s="317" t="s">
        <v>240</v>
      </c>
      <c r="I81" s="318" t="s">
        <v>240</v>
      </c>
      <c r="J81" s="318" t="s">
        <v>120</v>
      </c>
      <c r="K81" s="319" t="s">
        <v>19202</v>
      </c>
      <c r="L81" s="319" t="s">
        <v>19202</v>
      </c>
      <c r="M81" s="319" t="s">
        <v>19202</v>
      </c>
      <c r="N81" s="319" t="s">
        <v>19202</v>
      </c>
      <c r="O81" s="319" t="s">
        <v>19202</v>
      </c>
      <c r="P81" s="320" t="s">
        <v>19204</v>
      </c>
      <c r="Q81" s="321" t="s">
        <v>19202</v>
      </c>
      <c r="R81" s="150" t="str">
        <f ca="1">IF(ISERROR($V81),"",OFFSET('Smelter Look-up'!$C$4,$V81-4,0)&amp;"")</f>
        <v>Nanjing Hanrui Cobalt</v>
      </c>
      <c r="S81" s="156" t="str">
        <f t="shared" ca="1" si="5"/>
        <v>CN</v>
      </c>
      <c r="T81" s="156" t="str">
        <f ca="1">IF(B81="","",IF(ISERROR(MATCH($J81,SorP!$B$1:$B$6226,0)),"",INDIRECT("'SorP'!$A$"&amp;MATCH($S81&amp;$J81,SorP!C:C,0))))</f>
        <v>CN-JS</v>
      </c>
      <c r="U81" s="169"/>
      <c r="V81" s="170">
        <f>IF(C81="",NA(),MATCH($B81&amp;$C81,'Smelter Look-up'!$J:$J,0))</f>
        <v>101</v>
      </c>
      <c r="X81" s="171">
        <f t="shared" si="3"/>
        <v>0</v>
      </c>
      <c r="AB81" s="171" t="str">
        <f t="shared" si="4"/>
        <v>CobaltNanjing Hanrui Cobalt</v>
      </c>
    </row>
    <row r="82" spans="1:28" s="171" customFormat="1" ht="27">
      <c r="A82" s="324" t="s">
        <v>243</v>
      </c>
      <c r="B82" s="315" t="s">
        <v>43</v>
      </c>
      <c r="C82" s="316" t="s">
        <v>242</v>
      </c>
      <c r="D82" s="315" t="s">
        <v>242</v>
      </c>
      <c r="E82" s="315" t="s">
        <v>71</v>
      </c>
      <c r="F82" s="315" t="s">
        <v>243</v>
      </c>
      <c r="G82" s="315" t="s">
        <v>12</v>
      </c>
      <c r="H82" s="317" t="s">
        <v>19202</v>
      </c>
      <c r="I82" s="318" t="s">
        <v>244</v>
      </c>
      <c r="J82" s="318" t="s">
        <v>120</v>
      </c>
      <c r="K82" s="319" t="s">
        <v>19202</v>
      </c>
      <c r="L82" s="319" t="s">
        <v>19202</v>
      </c>
      <c r="M82" s="319" t="s">
        <v>19202</v>
      </c>
      <c r="N82" s="319" t="s">
        <v>19202</v>
      </c>
      <c r="O82" s="319" t="s">
        <v>19202</v>
      </c>
      <c r="P82" s="320" t="s">
        <v>19204</v>
      </c>
      <c r="Q82" s="321" t="s">
        <v>19202</v>
      </c>
      <c r="R82" s="150" t="str">
        <f ca="1">IF(ISERROR($V82),"",OFFSET('Smelter Look-up'!$C$4,$V82-4,0)&amp;"")</f>
        <v>Nantong Xinwei Nickel Cobalt Technology Development Co., Ltd.</v>
      </c>
      <c r="S82" s="156" t="str">
        <f t="shared" ca="1" si="5"/>
        <v>CN</v>
      </c>
      <c r="T82" s="156" t="str">
        <f ca="1">IF(B82="","",IF(ISERROR(MATCH($J82,SorP!$B$1:$B$6226,0)),"",INDIRECT("'SorP'!$A$"&amp;MATCH($S82&amp;$J82,SorP!C:C,0))))</f>
        <v>CN-JS</v>
      </c>
      <c r="U82" s="169"/>
      <c r="V82" s="170">
        <f>IF(C82="",NA(),MATCH($B82&amp;$C82,'Smelter Look-up'!$J:$J,0))</f>
        <v>103</v>
      </c>
      <c r="X82" s="171">
        <f t="shared" si="3"/>
        <v>0</v>
      </c>
      <c r="AB82" s="171" t="str">
        <f t="shared" si="4"/>
        <v>CobaltNantong Xinwei Nickel Cobalt Technology Development Co., Ltd.</v>
      </c>
    </row>
    <row r="83" spans="1:28" s="171" customFormat="1" ht="27">
      <c r="A83" s="324" t="s">
        <v>243</v>
      </c>
      <c r="B83" s="315" t="s">
        <v>43</v>
      </c>
      <c r="C83" s="316" t="s">
        <v>242</v>
      </c>
      <c r="D83" s="315" t="s">
        <v>242</v>
      </c>
      <c r="E83" s="315" t="s">
        <v>71</v>
      </c>
      <c r="F83" s="315" t="s">
        <v>243</v>
      </c>
      <c r="G83" s="315" t="s">
        <v>12</v>
      </c>
      <c r="H83" s="317" t="s">
        <v>244</v>
      </c>
      <c r="I83" s="318" t="s">
        <v>244</v>
      </c>
      <c r="J83" s="318" t="s">
        <v>120</v>
      </c>
      <c r="K83" s="319" t="s">
        <v>19202</v>
      </c>
      <c r="L83" s="319" t="s">
        <v>19202</v>
      </c>
      <c r="M83" s="319" t="s">
        <v>19202</v>
      </c>
      <c r="N83" s="319" t="s">
        <v>19202</v>
      </c>
      <c r="O83" s="319" t="s">
        <v>19202</v>
      </c>
      <c r="P83" s="320" t="s">
        <v>19204</v>
      </c>
      <c r="Q83" s="321" t="s">
        <v>19202</v>
      </c>
      <c r="R83" s="150" t="str">
        <f ca="1">IF(ISERROR($V83),"",OFFSET('Smelter Look-up'!$C$4,$V83-4,0)&amp;"")</f>
        <v>Nantong Xinwei Nickel Cobalt Technology Development Co., Ltd.</v>
      </c>
      <c r="S83" s="156" t="str">
        <f t="shared" ca="1" si="5"/>
        <v>CN</v>
      </c>
      <c r="T83" s="156" t="str">
        <f ca="1">IF(B83="","",IF(ISERROR(MATCH($J83,SorP!$B$1:$B$6226,0)),"",INDIRECT("'SorP'!$A$"&amp;MATCH($S83&amp;$J83,SorP!C:C,0))))</f>
        <v>CN-JS</v>
      </c>
      <c r="U83" s="169"/>
      <c r="V83" s="170">
        <f>IF(C83="",NA(),MATCH($B83&amp;$C83,'Smelter Look-up'!$J:$J,0))</f>
        <v>103</v>
      </c>
      <c r="X83" s="171">
        <f t="shared" si="3"/>
        <v>0</v>
      </c>
      <c r="AB83" s="171" t="str">
        <f t="shared" si="4"/>
        <v>CobaltNantong Xinwei Nickel Cobalt Technology Development Co., Ltd.</v>
      </c>
    </row>
    <row r="84" spans="1:28" s="171" customFormat="1" ht="27">
      <c r="A84" s="324" t="s">
        <v>246</v>
      </c>
      <c r="B84" s="315" t="s">
        <v>43</v>
      </c>
      <c r="C84" s="316" t="s">
        <v>245</v>
      </c>
      <c r="D84" s="315" t="s">
        <v>245</v>
      </c>
      <c r="E84" s="315" t="s">
        <v>71</v>
      </c>
      <c r="F84" s="315" t="s">
        <v>246</v>
      </c>
      <c r="G84" s="315" t="s">
        <v>12</v>
      </c>
      <c r="H84" s="317" t="s">
        <v>19202</v>
      </c>
      <c r="I84" s="318" t="s">
        <v>210</v>
      </c>
      <c r="J84" s="318" t="s">
        <v>211</v>
      </c>
      <c r="K84" s="319" t="s">
        <v>19202</v>
      </c>
      <c r="L84" s="319" t="s">
        <v>19202</v>
      </c>
      <c r="M84" s="319" t="s">
        <v>19202</v>
      </c>
      <c r="N84" s="319" t="s">
        <v>19202</v>
      </c>
      <c r="O84" s="319" t="s">
        <v>19202</v>
      </c>
      <c r="P84" s="320" t="s">
        <v>19204</v>
      </c>
      <c r="Q84" s="321" t="s">
        <v>19202</v>
      </c>
      <c r="R84" s="150" t="str">
        <f ca="1">IF(ISERROR($V84),"",OFFSET('Smelter Look-up'!$C$4,$V84-4,0)&amp;"")</f>
        <v>Zhejiang New Era Zhongneng Technology Co., Ltd.</v>
      </c>
      <c r="S84" s="156" t="str">
        <f t="shared" ca="1" si="5"/>
        <v>CN</v>
      </c>
      <c r="T84" s="156" t="str">
        <f ca="1">IF(B84="","",IF(ISERROR(MATCH($J84,SorP!$B$1:$B$6226,0)),"",INDIRECT("'SorP'!$A$"&amp;MATCH($S84&amp;$J84,SorP!C:C,0))))</f>
        <v>CN-ZJ</v>
      </c>
      <c r="U84" s="169"/>
      <c r="V84" s="170">
        <f>IF(C84="",NA(),MATCH($B84&amp;$C84,'Smelter Look-up'!$J:$J,0))</f>
        <v>104</v>
      </c>
      <c r="X84" s="171">
        <f t="shared" si="3"/>
        <v>0</v>
      </c>
      <c r="AB84" s="171" t="str">
        <f t="shared" si="4"/>
        <v>CobaltNew Era Group Zhejiang Zhongneng Cycle Technology Co., Ltd.</v>
      </c>
    </row>
    <row r="85" spans="1:28" s="171" customFormat="1" ht="27">
      <c r="A85" s="324" t="s">
        <v>246</v>
      </c>
      <c r="B85" s="315" t="s">
        <v>43</v>
      </c>
      <c r="C85" s="316" t="s">
        <v>245</v>
      </c>
      <c r="D85" s="315" t="s">
        <v>245</v>
      </c>
      <c r="E85" s="315" t="s">
        <v>71</v>
      </c>
      <c r="F85" s="315" t="s">
        <v>246</v>
      </c>
      <c r="G85" s="315" t="s">
        <v>12</v>
      </c>
      <c r="H85" s="317" t="s">
        <v>210</v>
      </c>
      <c r="I85" s="318" t="s">
        <v>210</v>
      </c>
      <c r="J85" s="318" t="s">
        <v>211</v>
      </c>
      <c r="K85" s="319" t="s">
        <v>19202</v>
      </c>
      <c r="L85" s="319" t="s">
        <v>19202</v>
      </c>
      <c r="M85" s="319" t="s">
        <v>19202</v>
      </c>
      <c r="N85" s="319" t="s">
        <v>19202</v>
      </c>
      <c r="O85" s="319" t="s">
        <v>19202</v>
      </c>
      <c r="P85" s="320" t="s">
        <v>19204</v>
      </c>
      <c r="Q85" s="321" t="s">
        <v>19202</v>
      </c>
      <c r="R85" s="150" t="str">
        <f ca="1">IF(ISERROR($V85),"",OFFSET('Smelter Look-up'!$C$4,$V85-4,0)&amp;"")</f>
        <v>Zhejiang New Era Zhongneng Technology Co., Ltd.</v>
      </c>
      <c r="S85" s="156" t="str">
        <f t="shared" ca="1" si="5"/>
        <v>CN</v>
      </c>
      <c r="T85" s="156" t="str">
        <f ca="1">IF(B85="","",IF(ISERROR(MATCH($J85,SorP!$B$1:$B$6226,0)),"",INDIRECT("'SorP'!$A$"&amp;MATCH($S85&amp;$J85,SorP!C:C,0))))</f>
        <v>CN-ZJ</v>
      </c>
      <c r="U85" s="169"/>
      <c r="V85" s="170">
        <f>IF(C85="",NA(),MATCH($B85&amp;$C85,'Smelter Look-up'!$J:$J,0))</f>
        <v>104</v>
      </c>
      <c r="X85" s="171">
        <f t="shared" si="3"/>
        <v>0</v>
      </c>
      <c r="AB85" s="171" t="str">
        <f t="shared" si="4"/>
        <v>CobaltNew Era Group Zhejiang Zhongneng Cycle Technology Co., Ltd.</v>
      </c>
    </row>
    <row r="86" spans="1:28" s="171" customFormat="1" ht="20">
      <c r="A86" s="324" t="s">
        <v>250</v>
      </c>
      <c r="B86" s="315" t="s">
        <v>43</v>
      </c>
      <c r="C86" s="316" t="s">
        <v>321</v>
      </c>
      <c r="D86" s="315" t="s">
        <v>248</v>
      </c>
      <c r="E86" s="315" t="s">
        <v>139</v>
      </c>
      <c r="F86" s="315" t="s">
        <v>250</v>
      </c>
      <c r="G86" s="315" t="s">
        <v>19202</v>
      </c>
      <c r="H86" s="317" t="s">
        <v>19202</v>
      </c>
      <c r="I86" s="318" t="s">
        <v>19228</v>
      </c>
      <c r="J86" s="318" t="s">
        <v>252</v>
      </c>
      <c r="K86" s="319" t="s">
        <v>19202</v>
      </c>
      <c r="L86" s="319" t="s">
        <v>19202</v>
      </c>
      <c r="M86" s="319" t="s">
        <v>19202</v>
      </c>
      <c r="N86" s="319" t="s">
        <v>19202</v>
      </c>
      <c r="O86" s="319" t="s">
        <v>19202</v>
      </c>
      <c r="P86" s="320" t="s">
        <v>19204</v>
      </c>
      <c r="Q86" s="321" t="s">
        <v>19202</v>
      </c>
      <c r="R86" s="150" t="str">
        <f ca="1">IF(ISERROR($V86),"",OFFSET('Smelter Look-up'!$C$4,$V86-4,0)&amp;"")</f>
        <v/>
      </c>
      <c r="S86" s="156" t="str">
        <f t="shared" ca="1" si="5"/>
        <v>JP</v>
      </c>
      <c r="T86" s="156" t="str">
        <f ca="1">IF(B86="","",IF(ISERROR(MATCH($J86,SorP!$B$1:$B$6226,0)),"",INDIRECT("'SorP'!$A$"&amp;MATCH($S86&amp;$J86,SorP!C:C,0))))</f>
        <v>JP-38</v>
      </c>
      <c r="U86" s="169"/>
      <c r="V86" s="170" t="e">
        <f>IF(C86="",NA(),MATCH($B86&amp;$C86,'Smelter Look-up'!$J:$J,0))</f>
        <v>#N/A</v>
      </c>
      <c r="X86" s="171">
        <f t="shared" si="3"/>
        <v>0</v>
      </c>
      <c r="AB86" s="171" t="str">
        <f t="shared" si="4"/>
        <v>CobaltSmelter not listed</v>
      </c>
    </row>
    <row r="87" spans="1:28" s="171" customFormat="1" ht="27">
      <c r="A87" s="324" t="s">
        <v>250</v>
      </c>
      <c r="B87" s="315" t="s">
        <v>43</v>
      </c>
      <c r="C87" s="316" t="s">
        <v>12543</v>
      </c>
      <c r="D87" s="315" t="s">
        <v>12543</v>
      </c>
      <c r="E87" s="315" t="s">
        <v>139</v>
      </c>
      <c r="F87" s="315" t="s">
        <v>250</v>
      </c>
      <c r="G87" s="315" t="s">
        <v>12</v>
      </c>
      <c r="H87" s="323" t="s">
        <v>19208</v>
      </c>
      <c r="I87" s="318" t="s">
        <v>251</v>
      </c>
      <c r="J87" s="318" t="s">
        <v>252</v>
      </c>
      <c r="K87" s="319" t="s">
        <v>19202</v>
      </c>
      <c r="L87" s="319" t="s">
        <v>19202</v>
      </c>
      <c r="M87" s="319" t="s">
        <v>19202</v>
      </c>
      <c r="N87" s="319" t="s">
        <v>19202</v>
      </c>
      <c r="O87" s="319" t="s">
        <v>19202</v>
      </c>
      <c r="P87" s="320" t="s">
        <v>19204</v>
      </c>
      <c r="Q87" s="321" t="s">
        <v>19202</v>
      </c>
      <c r="R87" s="150" t="str">
        <f ca="1">IF(ISERROR($V87),"",OFFSET('Smelter Look-up'!$C$4,$V87-4,0)&amp;"")</f>
        <v>Niihama Nickel Refinery, Sumitomo Metal Mining</v>
      </c>
      <c r="S87" s="156" t="str">
        <f t="shared" ca="1" si="5"/>
        <v>JP</v>
      </c>
      <c r="T87" s="156" t="str">
        <f ca="1">IF(B87="","",IF(ISERROR(MATCH($J87,SorP!$B$1:$B$6226,0)),"",INDIRECT("'SorP'!$A$"&amp;MATCH($S87&amp;$J87,SorP!C:C,0))))</f>
        <v>JP-38</v>
      </c>
      <c r="U87" s="169"/>
      <c r="V87" s="170">
        <f>IF(C87="",NA(),MATCH($B87&amp;$C87,'Smelter Look-up'!$J:$J,0))</f>
        <v>108</v>
      </c>
      <c r="X87" s="171">
        <f t="shared" si="3"/>
        <v>0</v>
      </c>
      <c r="AB87" s="171" t="str">
        <f t="shared" si="4"/>
        <v>CobaltNiihama Nickel Refinery, Sumitomo Metal Mining</v>
      </c>
    </row>
    <row r="88" spans="1:28" s="171" customFormat="1" ht="20">
      <c r="A88" s="324" t="s">
        <v>257</v>
      </c>
      <c r="B88" s="315" t="s">
        <v>43</v>
      </c>
      <c r="C88" s="316" t="s">
        <v>256</v>
      </c>
      <c r="D88" s="315" t="s">
        <v>256</v>
      </c>
      <c r="E88" s="315" t="s">
        <v>71</v>
      </c>
      <c r="F88" s="315" t="s">
        <v>257</v>
      </c>
      <c r="G88" s="315" t="s">
        <v>12</v>
      </c>
      <c r="H88" s="317" t="s">
        <v>19202</v>
      </c>
      <c r="I88" s="318" t="s">
        <v>255</v>
      </c>
      <c r="J88" s="318" t="s">
        <v>211</v>
      </c>
      <c r="K88" s="319" t="s">
        <v>19202</v>
      </c>
      <c r="L88" s="319" t="s">
        <v>19202</v>
      </c>
      <c r="M88" s="319" t="s">
        <v>19202</v>
      </c>
      <c r="N88" s="319" t="s">
        <v>19202</v>
      </c>
      <c r="O88" s="319" t="s">
        <v>19202</v>
      </c>
      <c r="P88" s="320" t="s">
        <v>19204</v>
      </c>
      <c r="Q88" s="321" t="s">
        <v>19202</v>
      </c>
      <c r="R88" s="150" t="str">
        <f ca="1">IF(ISERROR($V88),"",OFFSET('Smelter Look-up'!$C$4,$V88-4,0)&amp;"")</f>
        <v>Ningbo Yanmen Chemical Co., Ltd.</v>
      </c>
      <c r="S88" s="156" t="str">
        <f t="shared" ca="1" si="5"/>
        <v>CN</v>
      </c>
      <c r="T88" s="156" t="str">
        <f ca="1">IF(B88="","",IF(ISERROR(MATCH($J88,SorP!$B$1:$B$6226,0)),"",INDIRECT("'SorP'!$A$"&amp;MATCH($S88&amp;$J88,SorP!C:C,0))))</f>
        <v>CN-ZJ</v>
      </c>
      <c r="U88" s="169"/>
      <c r="V88" s="170">
        <f>IF(C88="",NA(),MATCH($B88&amp;$C88,'Smelter Look-up'!$J:$J,0))</f>
        <v>110</v>
      </c>
      <c r="X88" s="171">
        <f t="shared" si="3"/>
        <v>0</v>
      </c>
      <c r="AB88" s="171" t="str">
        <f t="shared" si="4"/>
        <v>CobaltNingbo Yanmen Chemical Co., Ltd.</v>
      </c>
    </row>
    <row r="89" spans="1:28" s="171" customFormat="1" ht="20">
      <c r="A89" s="324" t="s">
        <v>257</v>
      </c>
      <c r="B89" s="315" t="s">
        <v>43</v>
      </c>
      <c r="C89" s="316" t="s">
        <v>256</v>
      </c>
      <c r="D89" s="315" t="s">
        <v>256</v>
      </c>
      <c r="E89" s="315" t="s">
        <v>71</v>
      </c>
      <c r="F89" s="315" t="s">
        <v>257</v>
      </c>
      <c r="G89" s="315" t="s">
        <v>12</v>
      </c>
      <c r="H89" s="317" t="s">
        <v>255</v>
      </c>
      <c r="I89" s="318" t="s">
        <v>255</v>
      </c>
      <c r="J89" s="318" t="s">
        <v>211</v>
      </c>
      <c r="K89" s="319" t="s">
        <v>19202</v>
      </c>
      <c r="L89" s="319" t="s">
        <v>19202</v>
      </c>
      <c r="M89" s="319" t="s">
        <v>19202</v>
      </c>
      <c r="N89" s="319" t="s">
        <v>19202</v>
      </c>
      <c r="O89" s="319" t="s">
        <v>19202</v>
      </c>
      <c r="P89" s="320" t="s">
        <v>19204</v>
      </c>
      <c r="Q89" s="321" t="s">
        <v>19202</v>
      </c>
      <c r="R89" s="150" t="str">
        <f ca="1">IF(ISERROR($V89),"",OFFSET('Smelter Look-up'!$C$4,$V89-4,0)&amp;"")</f>
        <v>Ningbo Yanmen Chemical Co., Ltd.</v>
      </c>
      <c r="S89" s="156" t="str">
        <f t="shared" ca="1" si="5"/>
        <v>CN</v>
      </c>
      <c r="T89" s="156" t="str">
        <f ca="1">IF(B89="","",IF(ISERROR(MATCH($J89,SorP!$B$1:$B$6226,0)),"",INDIRECT("'SorP'!$A$"&amp;MATCH($S89&amp;$J89,SorP!C:C,0))))</f>
        <v>CN-ZJ</v>
      </c>
      <c r="U89" s="169"/>
      <c r="V89" s="170">
        <f>IF(C89="",NA(),MATCH($B89&amp;$C89,'Smelter Look-up'!$J:$J,0))</f>
        <v>110</v>
      </c>
      <c r="X89" s="171">
        <f t="shared" si="3"/>
        <v>0</v>
      </c>
      <c r="AB89" s="171" t="str">
        <f t="shared" si="4"/>
        <v>CobaltNingbo Yanmen Chemical Co., Ltd.</v>
      </c>
    </row>
    <row r="90" spans="1:28" s="171" customFormat="1" ht="20">
      <c r="A90" s="324" t="s">
        <v>259</v>
      </c>
      <c r="B90" s="315" t="s">
        <v>43</v>
      </c>
      <c r="C90" s="316" t="s">
        <v>258</v>
      </c>
      <c r="D90" s="315" t="s">
        <v>258</v>
      </c>
      <c r="E90" s="315" t="s">
        <v>107</v>
      </c>
      <c r="F90" s="315" t="s">
        <v>259</v>
      </c>
      <c r="G90" s="315" t="s">
        <v>12</v>
      </c>
      <c r="H90" s="317" t="s">
        <v>19202</v>
      </c>
      <c r="I90" s="318" t="s">
        <v>260</v>
      </c>
      <c r="J90" s="318" t="s">
        <v>261</v>
      </c>
      <c r="K90" s="319" t="s">
        <v>19202</v>
      </c>
      <c r="L90" s="319" t="s">
        <v>19202</v>
      </c>
      <c r="M90" s="319" t="s">
        <v>19202</v>
      </c>
      <c r="N90" s="319" t="s">
        <v>19202</v>
      </c>
      <c r="O90" s="319" t="s">
        <v>19202</v>
      </c>
      <c r="P90" s="320" t="s">
        <v>19204</v>
      </c>
      <c r="Q90" s="321" t="s">
        <v>19202</v>
      </c>
      <c r="R90" s="150" t="str">
        <f ca="1">IF(ISERROR($V90),"",OFFSET('Smelter Look-up'!$C$4,$V90-4,0)&amp;"")</f>
        <v>NORILSK NICKEL HARJAVALTA OY</v>
      </c>
      <c r="S90" s="156" t="str">
        <f t="shared" ca="1" si="5"/>
        <v>FI</v>
      </c>
      <c r="T90" s="156" t="str">
        <f ca="1">IF(B90="","",IF(ISERROR(MATCH($J90,SorP!$B$1:$B$6226,0)),"",INDIRECT("'SorP'!$A$"&amp;MATCH($S90&amp;$J90,SorP!C:C,0))))</f>
        <v>FI-17</v>
      </c>
      <c r="U90" s="169"/>
      <c r="V90" s="170">
        <f>IF(C90="",NA(),MATCH($B90&amp;$C90,'Smelter Look-up'!$J:$J,0))</f>
        <v>111</v>
      </c>
      <c r="X90" s="171">
        <f t="shared" si="3"/>
        <v>0</v>
      </c>
      <c r="AB90" s="171" t="str">
        <f t="shared" si="4"/>
        <v>CobaltNORILSK NICKEL HARJAVALTA OY</v>
      </c>
    </row>
    <row r="91" spans="1:28" s="171" customFormat="1" ht="20">
      <c r="A91" s="324" t="s">
        <v>259</v>
      </c>
      <c r="B91" s="315" t="s">
        <v>43</v>
      </c>
      <c r="C91" s="316" t="s">
        <v>258</v>
      </c>
      <c r="D91" s="315" t="s">
        <v>258</v>
      </c>
      <c r="E91" s="315" t="s">
        <v>107</v>
      </c>
      <c r="F91" s="315" t="s">
        <v>259</v>
      </c>
      <c r="G91" s="315" t="s">
        <v>12</v>
      </c>
      <c r="H91" s="317" t="s">
        <v>260</v>
      </c>
      <c r="I91" s="318" t="s">
        <v>260</v>
      </c>
      <c r="J91" s="318" t="s">
        <v>261</v>
      </c>
      <c r="K91" s="319" t="s">
        <v>19202</v>
      </c>
      <c r="L91" s="319" t="s">
        <v>19202</v>
      </c>
      <c r="M91" s="319" t="s">
        <v>19202</v>
      </c>
      <c r="N91" s="319" t="s">
        <v>19202</v>
      </c>
      <c r="O91" s="319" t="s">
        <v>19202</v>
      </c>
      <c r="P91" s="320" t="s">
        <v>19204</v>
      </c>
      <c r="Q91" s="321" t="s">
        <v>19202</v>
      </c>
      <c r="R91" s="150" t="str">
        <f ca="1">IF(ISERROR($V91),"",OFFSET('Smelter Look-up'!$C$4,$V91-4,0)&amp;"")</f>
        <v>NORILSK NICKEL HARJAVALTA OY</v>
      </c>
      <c r="S91" s="156" t="str">
        <f t="shared" ca="1" si="5"/>
        <v>FI</v>
      </c>
      <c r="T91" s="156" t="str">
        <f ca="1">IF(B91="","",IF(ISERROR(MATCH($J91,SorP!$B$1:$B$6226,0)),"",INDIRECT("'SorP'!$A$"&amp;MATCH($S91&amp;$J91,SorP!C:C,0))))</f>
        <v>FI-17</v>
      </c>
      <c r="U91" s="169"/>
      <c r="V91" s="170">
        <f>IF(C91="",NA(),MATCH($B91&amp;$C91,'Smelter Look-up'!$J:$J,0))</f>
        <v>111</v>
      </c>
      <c r="X91" s="171">
        <f t="shared" si="3"/>
        <v>0</v>
      </c>
      <c r="AB91" s="171" t="str">
        <f t="shared" si="4"/>
        <v>CobaltNORILSK NICKEL HARJAVALTA OY</v>
      </c>
    </row>
    <row r="92" spans="1:28" s="171" customFormat="1" ht="27">
      <c r="A92" s="324" t="s">
        <v>271</v>
      </c>
      <c r="B92" s="315" t="s">
        <v>43</v>
      </c>
      <c r="C92" s="316" t="s">
        <v>270</v>
      </c>
      <c r="D92" s="315" t="s">
        <v>270</v>
      </c>
      <c r="E92" s="315" t="s">
        <v>71</v>
      </c>
      <c r="F92" s="315" t="s">
        <v>271</v>
      </c>
      <c r="G92" s="315" t="s">
        <v>12</v>
      </c>
      <c r="H92" s="317" t="s">
        <v>19202</v>
      </c>
      <c r="I92" s="318" t="s">
        <v>272</v>
      </c>
      <c r="J92" s="318" t="s">
        <v>211</v>
      </c>
      <c r="K92" s="319" t="s">
        <v>19202</v>
      </c>
      <c r="L92" s="319" t="s">
        <v>19202</v>
      </c>
      <c r="M92" s="319" t="s">
        <v>19202</v>
      </c>
      <c r="N92" s="319" t="s">
        <v>19202</v>
      </c>
      <c r="O92" s="319" t="s">
        <v>19202</v>
      </c>
      <c r="P92" s="320" t="s">
        <v>19204</v>
      </c>
      <c r="Q92" s="321" t="s">
        <v>19202</v>
      </c>
      <c r="R92" s="150" t="str">
        <f ca="1">IF(ISERROR($V92),"",OFFSET('Smelter Look-up'!$C$4,$V92-4,0)&amp;"")</f>
        <v>Quzhou Huayou Cobalt New Material Co., Ltd.</v>
      </c>
      <c r="S92" s="156" t="str">
        <f t="shared" ca="1" si="5"/>
        <v>CN</v>
      </c>
      <c r="T92" s="156" t="str">
        <f ca="1">IF(B92="","",IF(ISERROR(MATCH($J92,SorP!$B$1:$B$6226,0)),"",INDIRECT("'SorP'!$A$"&amp;MATCH($S92&amp;$J92,SorP!C:C,0))))</f>
        <v>CN-ZJ</v>
      </c>
      <c r="U92" s="169"/>
      <c r="V92" s="170">
        <f>IF(C92="",NA(),MATCH($B92&amp;$C92,'Smelter Look-up'!$J:$J,0))</f>
        <v>118</v>
      </c>
      <c r="X92" s="171">
        <f t="shared" si="3"/>
        <v>0</v>
      </c>
      <c r="AB92" s="171" t="str">
        <f t="shared" si="4"/>
        <v>CobaltQuzhou Huayou Cobalt New Material Co., Ltd.</v>
      </c>
    </row>
    <row r="93" spans="1:28" s="171" customFormat="1" ht="27">
      <c r="A93" s="324" t="s">
        <v>271</v>
      </c>
      <c r="B93" s="315" t="s">
        <v>43</v>
      </c>
      <c r="C93" s="316" t="s">
        <v>270</v>
      </c>
      <c r="D93" s="315" t="s">
        <v>270</v>
      </c>
      <c r="E93" s="315" t="s">
        <v>71</v>
      </c>
      <c r="F93" s="315" t="s">
        <v>271</v>
      </c>
      <c r="G93" s="315" t="s">
        <v>12</v>
      </c>
      <c r="H93" s="323" t="s">
        <v>19208</v>
      </c>
      <c r="I93" s="318" t="s">
        <v>272</v>
      </c>
      <c r="J93" s="318" t="s">
        <v>211</v>
      </c>
      <c r="K93" s="319" t="s">
        <v>19202</v>
      </c>
      <c r="L93" s="319" t="s">
        <v>19202</v>
      </c>
      <c r="M93" s="319" t="s">
        <v>19202</v>
      </c>
      <c r="N93" s="319" t="s">
        <v>19202</v>
      </c>
      <c r="O93" s="319" t="s">
        <v>19202</v>
      </c>
      <c r="P93" s="320" t="s">
        <v>19204</v>
      </c>
      <c r="Q93" s="321" t="s">
        <v>19202</v>
      </c>
      <c r="R93" s="150" t="str">
        <f ca="1">IF(ISERROR($V93),"",OFFSET('Smelter Look-up'!$C$4,$V93-4,0)&amp;"")</f>
        <v>Quzhou Huayou Cobalt New Material Co., Ltd.</v>
      </c>
      <c r="S93" s="156" t="str">
        <f t="shared" ca="1" si="5"/>
        <v>CN</v>
      </c>
      <c r="T93" s="156" t="str">
        <f ca="1">IF(B93="","",IF(ISERROR(MATCH($J93,SorP!$B$1:$B$6226,0)),"",INDIRECT("'SorP'!$A$"&amp;MATCH($S93&amp;$J93,SorP!C:C,0))))</f>
        <v>CN-ZJ</v>
      </c>
      <c r="U93" s="169"/>
      <c r="V93" s="170">
        <f>IF(C93="",NA(),MATCH($B93&amp;$C93,'Smelter Look-up'!$J:$J,0))</f>
        <v>118</v>
      </c>
      <c r="X93" s="171">
        <f t="shared" si="3"/>
        <v>0</v>
      </c>
      <c r="AB93" s="171" t="str">
        <f t="shared" si="4"/>
        <v>CobaltQuzhou Huayou Cobalt New Material Co., Ltd.</v>
      </c>
    </row>
    <row r="94" spans="1:28" s="171" customFormat="1" ht="27">
      <c r="A94" s="324" t="s">
        <v>271</v>
      </c>
      <c r="B94" s="315" t="s">
        <v>43</v>
      </c>
      <c r="C94" s="316" t="s">
        <v>270</v>
      </c>
      <c r="D94" s="315" t="s">
        <v>270</v>
      </c>
      <c r="E94" s="315" t="s">
        <v>71</v>
      </c>
      <c r="F94" s="315" t="s">
        <v>271</v>
      </c>
      <c r="G94" s="315" t="s">
        <v>12</v>
      </c>
      <c r="H94" s="317" t="s">
        <v>272</v>
      </c>
      <c r="I94" s="318" t="s">
        <v>272</v>
      </c>
      <c r="J94" s="318" t="s">
        <v>211</v>
      </c>
      <c r="K94" s="319" t="s">
        <v>19202</v>
      </c>
      <c r="L94" s="319" t="s">
        <v>19202</v>
      </c>
      <c r="M94" s="319" t="s">
        <v>19202</v>
      </c>
      <c r="N94" s="319" t="s">
        <v>19202</v>
      </c>
      <c r="O94" s="319" t="s">
        <v>19202</v>
      </c>
      <c r="P94" s="320" t="s">
        <v>19204</v>
      </c>
      <c r="Q94" s="321" t="s">
        <v>19202</v>
      </c>
      <c r="R94" s="150" t="str">
        <f ca="1">IF(ISERROR($V94),"",OFFSET('Smelter Look-up'!$C$4,$V94-4,0)&amp;"")</f>
        <v>Quzhou Huayou Cobalt New Material Co., Ltd.</v>
      </c>
      <c r="S94" s="156" t="str">
        <f t="shared" ca="1" si="5"/>
        <v>CN</v>
      </c>
      <c r="T94" s="156" t="str">
        <f ca="1">IF(B94="","",IF(ISERROR(MATCH($J94,SorP!$B$1:$B$6226,0)),"",INDIRECT("'SorP'!$A$"&amp;MATCH($S94&amp;$J94,SorP!C:C,0))))</f>
        <v>CN-ZJ</v>
      </c>
      <c r="U94" s="169"/>
      <c r="V94" s="170">
        <f>IF(C94="",NA(),MATCH($B94&amp;$C94,'Smelter Look-up'!$J:$J,0))</f>
        <v>118</v>
      </c>
      <c r="X94" s="171">
        <f t="shared" si="3"/>
        <v>0</v>
      </c>
      <c r="AB94" s="171" t="str">
        <f t="shared" si="4"/>
        <v>CobaltQuzhou Huayou Cobalt New Material Co., Ltd.</v>
      </c>
    </row>
    <row r="95" spans="1:28" s="171" customFormat="1" ht="20">
      <c r="A95" s="324" t="s">
        <v>102</v>
      </c>
      <c r="B95" s="315" t="s">
        <v>43</v>
      </c>
      <c r="C95" s="316" t="s">
        <v>277</v>
      </c>
      <c r="D95" s="315" t="s">
        <v>277</v>
      </c>
      <c r="E95" s="315" t="s">
        <v>101</v>
      </c>
      <c r="F95" s="315" t="s">
        <v>102</v>
      </c>
      <c r="G95" s="315" t="s">
        <v>12</v>
      </c>
      <c r="H95" s="317" t="s">
        <v>19202</v>
      </c>
      <c r="I95" s="318" t="s">
        <v>103</v>
      </c>
      <c r="J95" s="318" t="s">
        <v>104</v>
      </c>
      <c r="K95" s="319" t="s">
        <v>19202</v>
      </c>
      <c r="L95" s="319" t="s">
        <v>19202</v>
      </c>
      <c r="M95" s="319" t="s">
        <v>19202</v>
      </c>
      <c r="N95" s="319" t="s">
        <v>19202</v>
      </c>
      <c r="O95" s="319" t="s">
        <v>19202</v>
      </c>
      <c r="P95" s="320" t="s">
        <v>19204</v>
      </c>
      <c r="Q95" s="321" t="s">
        <v>19202</v>
      </c>
      <c r="R95" s="150" t="str">
        <f ca="1">IF(ISERROR($V95),"",OFFSET('Smelter Look-up'!$C$4,$V95-4,0)&amp;"")</f>
        <v>Fort Saskatchewan Metals Facility</v>
      </c>
      <c r="S95" s="156" t="str">
        <f t="shared" ca="1" si="5"/>
        <v>CA</v>
      </c>
      <c r="T95" s="156" t="str">
        <f ca="1">IF(B95="","",IF(ISERROR(MATCH($J95,SorP!$B$1:$B$6226,0)),"",INDIRECT("'SorP'!$A$"&amp;MATCH($S95&amp;$J95,SorP!C:C,0))))</f>
        <v>CA-ON</v>
      </c>
      <c r="U95" s="169"/>
      <c r="V95" s="170">
        <f>IF(C95="",NA(),MATCH($B95&amp;$C95,'Smelter Look-up'!$J:$J,0))</f>
        <v>123</v>
      </c>
      <c r="X95" s="171">
        <f t="shared" si="3"/>
        <v>0</v>
      </c>
      <c r="AB95" s="171" t="str">
        <f t="shared" si="4"/>
        <v>CobaltSherritt</v>
      </c>
    </row>
    <row r="96" spans="1:28" s="171" customFormat="1" ht="27">
      <c r="A96" s="324" t="s">
        <v>250</v>
      </c>
      <c r="B96" s="315" t="s">
        <v>43</v>
      </c>
      <c r="C96" s="316" t="s">
        <v>12543</v>
      </c>
      <c r="D96" s="315" t="s">
        <v>249</v>
      </c>
      <c r="E96" s="315" t="s">
        <v>139</v>
      </c>
      <c r="F96" s="315" t="s">
        <v>250</v>
      </c>
      <c r="G96" s="315" t="s">
        <v>12</v>
      </c>
      <c r="H96" s="317" t="s">
        <v>19202</v>
      </c>
      <c r="I96" s="318" t="s">
        <v>251</v>
      </c>
      <c r="J96" s="318" t="s">
        <v>252</v>
      </c>
      <c r="K96" s="319" t="s">
        <v>19202</v>
      </c>
      <c r="L96" s="319" t="s">
        <v>19202</v>
      </c>
      <c r="M96" s="319" t="s">
        <v>19202</v>
      </c>
      <c r="N96" s="319" t="s">
        <v>19202</v>
      </c>
      <c r="O96" s="319" t="s">
        <v>19202</v>
      </c>
      <c r="P96" s="320" t="s">
        <v>19204</v>
      </c>
      <c r="Q96" s="321" t="s">
        <v>19202</v>
      </c>
      <c r="R96" s="150" t="str">
        <f ca="1">IF(ISERROR($V96),"",OFFSET('Smelter Look-up'!$C$4,$V96-4,0)&amp;"")</f>
        <v>Niihama Nickel Refinery, Sumitomo Metal Mining</v>
      </c>
      <c r="S96" s="156" t="str">
        <f t="shared" ca="1" si="5"/>
        <v>JP</v>
      </c>
      <c r="T96" s="156" t="str">
        <f ca="1">IF(B96="","",IF(ISERROR(MATCH($J96,SorP!$B$1:$B$6226,0)),"",INDIRECT("'SorP'!$A$"&amp;MATCH($S96&amp;$J96,SorP!C:C,0))))</f>
        <v>JP-38</v>
      </c>
      <c r="U96" s="169"/>
      <c r="V96" s="170">
        <f>IF(C96="",NA(),MATCH($B96&amp;$C96,'Smelter Look-up'!$J:$J,0))</f>
        <v>108</v>
      </c>
      <c r="X96" s="171">
        <f t="shared" si="3"/>
        <v>0</v>
      </c>
      <c r="AB96" s="171" t="str">
        <f t="shared" si="4"/>
        <v>CobaltNiihama Nickel Refinery, Sumitomo Metal Mining</v>
      </c>
    </row>
    <row r="97" spans="1:28" s="171" customFormat="1" ht="27">
      <c r="A97" s="324" t="s">
        <v>250</v>
      </c>
      <c r="B97" s="315" t="s">
        <v>43</v>
      </c>
      <c r="C97" s="316" t="s">
        <v>249</v>
      </c>
      <c r="D97" s="315" t="s">
        <v>249</v>
      </c>
      <c r="E97" s="315" t="s">
        <v>139</v>
      </c>
      <c r="F97" s="315" t="s">
        <v>250</v>
      </c>
      <c r="G97" s="315" t="s">
        <v>12</v>
      </c>
      <c r="H97" s="317" t="s">
        <v>19202</v>
      </c>
      <c r="I97" s="318" t="s">
        <v>251</v>
      </c>
      <c r="J97" s="318" t="s">
        <v>252</v>
      </c>
      <c r="K97" s="319" t="s">
        <v>19202</v>
      </c>
      <c r="L97" s="319" t="s">
        <v>19202</v>
      </c>
      <c r="M97" s="319" t="s">
        <v>19202</v>
      </c>
      <c r="N97" s="319" t="s">
        <v>19202</v>
      </c>
      <c r="O97" s="319" t="s">
        <v>19202</v>
      </c>
      <c r="P97" s="320" t="s">
        <v>19204</v>
      </c>
      <c r="Q97" s="321" t="s">
        <v>19202</v>
      </c>
      <c r="R97" s="150" t="str">
        <f ca="1">IF(ISERROR($V97),"",OFFSET('Smelter Look-up'!$C$4,$V97-4,0)&amp;"")</f>
        <v>Niihama Nickel Refinery, Sumitomo Metal Mining</v>
      </c>
      <c r="S97" s="156" t="str">
        <f t="shared" ca="1" si="5"/>
        <v>JP</v>
      </c>
      <c r="T97" s="156" t="str">
        <f ca="1">IF(B97="","",IF(ISERROR(MATCH($J97,SorP!$B$1:$B$6226,0)),"",INDIRECT("'SorP'!$A$"&amp;MATCH($S97&amp;$J97,SorP!C:C,0))))</f>
        <v>JP-38</v>
      </c>
      <c r="U97" s="169"/>
      <c r="V97" s="170">
        <f>IF(C97="",NA(),MATCH($B97&amp;$C97,'Smelter Look-up'!$J:$J,0))</f>
        <v>130</v>
      </c>
      <c r="X97" s="171">
        <f t="shared" si="3"/>
        <v>0</v>
      </c>
      <c r="AB97" s="171" t="str">
        <f t="shared" si="4"/>
        <v>CobaltSumitomo Metal Mining</v>
      </c>
    </row>
    <row r="98" spans="1:28" s="171" customFormat="1" ht="20">
      <c r="A98" s="324" t="s">
        <v>282</v>
      </c>
      <c r="B98" s="315" t="s">
        <v>43</v>
      </c>
      <c r="C98" s="316" t="s">
        <v>280</v>
      </c>
      <c r="D98" s="315" t="s">
        <v>19229</v>
      </c>
      <c r="E98" s="315" t="s">
        <v>87</v>
      </c>
      <c r="F98" s="315" t="s">
        <v>282</v>
      </c>
      <c r="G98" s="315" t="s">
        <v>12</v>
      </c>
      <c r="H98" s="317" t="s">
        <v>19202</v>
      </c>
      <c r="I98" s="318" t="s">
        <v>283</v>
      </c>
      <c r="J98" s="318" t="s">
        <v>284</v>
      </c>
      <c r="K98" s="319" t="s">
        <v>19202</v>
      </c>
      <c r="L98" s="319" t="s">
        <v>19202</v>
      </c>
      <c r="M98" s="319" t="s">
        <v>19202</v>
      </c>
      <c r="N98" s="319" t="s">
        <v>19202</v>
      </c>
      <c r="O98" s="319" t="s">
        <v>19202</v>
      </c>
      <c r="P98" s="320" t="s">
        <v>19204</v>
      </c>
      <c r="Q98" s="321" t="s">
        <v>19202</v>
      </c>
      <c r="R98" s="150" t="str">
        <f ca="1">IF(ISERROR($V98),"",OFFSET('Smelter Look-up'!$C$4,$V98-4,0)&amp;"")</f>
        <v>SungEel HiTech Co., Ltd.</v>
      </c>
      <c r="S98" s="156" t="str">
        <f t="shared" ca="1" si="5"/>
        <v>KR</v>
      </c>
      <c r="T98" s="156" t="str">
        <f ca="1">IF(B98="","",IF(ISERROR(MATCH($J98,SorP!$B$1:$B$6226,0)),"",INDIRECT("'SorP'!$A$"&amp;MATCH($S98&amp;$J98,SorP!C:C,0))))</f>
        <v>KR-45</v>
      </c>
      <c r="U98" s="169"/>
      <c r="V98" s="170">
        <f>IF(C98="",NA(),MATCH($B98&amp;$C98,'Smelter Look-up'!$J:$J,0))</f>
        <v>131</v>
      </c>
      <c r="X98" s="171">
        <f t="shared" si="3"/>
        <v>0</v>
      </c>
      <c r="AB98" s="171" t="str">
        <f t="shared" si="4"/>
        <v>CobaltSungEel HiMetal Co., Ltd.</v>
      </c>
    </row>
    <row r="99" spans="1:28" s="171" customFormat="1" ht="20">
      <c r="A99" s="324" t="s">
        <v>282</v>
      </c>
      <c r="B99" s="315" t="s">
        <v>43</v>
      </c>
      <c r="C99" s="316" t="s">
        <v>19229</v>
      </c>
      <c r="D99" s="315" t="s">
        <v>19229</v>
      </c>
      <c r="E99" s="315" t="s">
        <v>87</v>
      </c>
      <c r="F99" s="315" t="s">
        <v>282</v>
      </c>
      <c r="G99" s="315" t="s">
        <v>12</v>
      </c>
      <c r="H99" s="317" t="s">
        <v>19202</v>
      </c>
      <c r="I99" s="318" t="s">
        <v>283</v>
      </c>
      <c r="J99" s="318" t="s">
        <v>284</v>
      </c>
      <c r="K99" s="319" t="s">
        <v>19202</v>
      </c>
      <c r="L99" s="319" t="s">
        <v>19202</v>
      </c>
      <c r="M99" s="319" t="s">
        <v>19202</v>
      </c>
      <c r="N99" s="319" t="s">
        <v>19202</v>
      </c>
      <c r="O99" s="319" t="s">
        <v>19202</v>
      </c>
      <c r="P99" s="320" t="s">
        <v>19204</v>
      </c>
      <c r="Q99" s="321" t="s">
        <v>19202</v>
      </c>
      <c r="R99" s="150" t="str">
        <f ca="1">IF(ISERROR($V99),"",OFFSET('Smelter Look-up'!$C$4,$V99-4,0)&amp;"")</f>
        <v/>
      </c>
      <c r="S99" s="156" t="str">
        <f t="shared" ca="1" si="5"/>
        <v>KR</v>
      </c>
      <c r="T99" s="156" t="str">
        <f ca="1">IF(B99="","",IF(ISERROR(MATCH($J99,SorP!$B$1:$B$6226,0)),"",INDIRECT("'SorP'!$A$"&amp;MATCH($S99&amp;$J99,SorP!C:C,0))))</f>
        <v>KR-45</v>
      </c>
      <c r="U99" s="169"/>
      <c r="V99" s="170" t="e">
        <f>IF(C99="",NA(),MATCH($B99&amp;$C99,'Smelter Look-up'!$J:$J,0))</f>
        <v>#N/A</v>
      </c>
      <c r="X99" s="171">
        <f t="shared" si="3"/>
        <v>0</v>
      </c>
      <c r="AB99" s="171" t="str">
        <f t="shared" si="4"/>
        <v>CobaltSungEel HiTech Co.,Ltd.</v>
      </c>
    </row>
    <row r="100" spans="1:28" s="171" customFormat="1" ht="20">
      <c r="A100" s="324" t="s">
        <v>282</v>
      </c>
      <c r="B100" s="315" t="s">
        <v>43</v>
      </c>
      <c r="C100" s="316" t="s">
        <v>19229</v>
      </c>
      <c r="D100" s="315" t="s">
        <v>19229</v>
      </c>
      <c r="E100" s="315" t="s">
        <v>87</v>
      </c>
      <c r="F100" s="315" t="s">
        <v>282</v>
      </c>
      <c r="G100" s="315" t="s">
        <v>12</v>
      </c>
      <c r="H100" s="317" t="s">
        <v>283</v>
      </c>
      <c r="I100" s="318" t="s">
        <v>283</v>
      </c>
      <c r="J100" s="318" t="s">
        <v>284</v>
      </c>
      <c r="K100" s="319" t="s">
        <v>19202</v>
      </c>
      <c r="L100" s="319" t="s">
        <v>19202</v>
      </c>
      <c r="M100" s="319" t="s">
        <v>19202</v>
      </c>
      <c r="N100" s="319" t="s">
        <v>19202</v>
      </c>
      <c r="O100" s="319" t="s">
        <v>19202</v>
      </c>
      <c r="P100" s="320" t="s">
        <v>19204</v>
      </c>
      <c r="Q100" s="321" t="s">
        <v>19202</v>
      </c>
      <c r="R100" s="150" t="str">
        <f ca="1">IF(ISERROR($V100),"",OFFSET('Smelter Look-up'!$C$4,$V100-4,0)&amp;"")</f>
        <v/>
      </c>
      <c r="S100" s="156" t="str">
        <f t="shared" ca="1" si="5"/>
        <v>KR</v>
      </c>
      <c r="T100" s="156" t="str">
        <f ca="1">IF(B100="","",IF(ISERROR(MATCH($J100,SorP!$B$1:$B$6226,0)),"",INDIRECT("'SorP'!$A$"&amp;MATCH($S100&amp;$J100,SorP!C:C,0))))</f>
        <v>KR-45</v>
      </c>
      <c r="U100" s="169"/>
      <c r="V100" s="170" t="e">
        <f>IF(C100="",NA(),MATCH($B100&amp;$C100,'Smelter Look-up'!$J:$J,0))</f>
        <v>#N/A</v>
      </c>
      <c r="X100" s="171">
        <f t="shared" si="3"/>
        <v>0</v>
      </c>
      <c r="AB100" s="171" t="str">
        <f t="shared" si="4"/>
        <v>CobaltSungEel HiTech Co.,Ltd.</v>
      </c>
    </row>
    <row r="101" spans="1:28" s="171" customFormat="1" ht="27">
      <c r="A101" s="324" t="s">
        <v>201</v>
      </c>
      <c r="B101" s="315" t="s">
        <v>43</v>
      </c>
      <c r="C101" s="316" t="s">
        <v>200</v>
      </c>
      <c r="D101" s="315" t="s">
        <v>200</v>
      </c>
      <c r="E101" s="315" t="s">
        <v>71</v>
      </c>
      <c r="F101" s="315" t="s">
        <v>201</v>
      </c>
      <c r="G101" s="315" t="s">
        <v>12</v>
      </c>
      <c r="H101" s="317" t="s">
        <v>19202</v>
      </c>
      <c r="I101" s="318" t="s">
        <v>202</v>
      </c>
      <c r="J101" s="318" t="s">
        <v>202</v>
      </c>
      <c r="K101" s="319" t="s">
        <v>19202</v>
      </c>
      <c r="L101" s="319" t="s">
        <v>19202</v>
      </c>
      <c r="M101" s="319" t="s">
        <v>19202</v>
      </c>
      <c r="N101" s="319" t="s">
        <v>19202</v>
      </c>
      <c r="O101" s="319" t="s">
        <v>19202</v>
      </c>
      <c r="P101" s="320" t="s">
        <v>19204</v>
      </c>
      <c r="Q101" s="321" t="s">
        <v>19202</v>
      </c>
      <c r="R101" s="150" t="str">
        <f ca="1">IF(ISERROR($V101),"",OFFSET('Smelter Look-up'!$C$4,$V101-4,0)&amp;"")</f>
        <v>Tianjin Maolian Science &amp; Technology Co., Ltd.</v>
      </c>
      <c r="S101" s="156" t="str">
        <f t="shared" ca="1" si="5"/>
        <v>CN</v>
      </c>
      <c r="T101" s="156" t="str">
        <f ca="1">IF(B101="","",IF(ISERROR(MATCH($J101,SorP!$B$1:$B$6226,0)),"",INDIRECT("'SorP'!$A$"&amp;MATCH($S101&amp;$J101,SorP!C:C,0))))</f>
        <v/>
      </c>
      <c r="U101" s="169"/>
      <c r="V101" s="170">
        <f>IF(C101="",NA(),MATCH($B101&amp;$C101,'Smelter Look-up'!$J:$J,0))</f>
        <v>137</v>
      </c>
      <c r="X101" s="171">
        <f t="shared" si="3"/>
        <v>0</v>
      </c>
      <c r="AB101" s="171" t="str">
        <f t="shared" si="4"/>
        <v>CobaltTianjin Maolian Science &amp; Technology Co., Ltd.</v>
      </c>
    </row>
    <row r="102" spans="1:28" s="171" customFormat="1" ht="27">
      <c r="A102" s="324" t="s">
        <v>201</v>
      </c>
      <c r="B102" s="315" t="s">
        <v>43</v>
      </c>
      <c r="C102" s="316" t="s">
        <v>200</v>
      </c>
      <c r="D102" s="315" t="s">
        <v>200</v>
      </c>
      <c r="E102" s="315" t="s">
        <v>71</v>
      </c>
      <c r="F102" s="315" t="s">
        <v>201</v>
      </c>
      <c r="G102" s="315" t="s">
        <v>12</v>
      </c>
      <c r="H102" s="317" t="s">
        <v>19202</v>
      </c>
      <c r="I102" s="318" t="s">
        <v>202</v>
      </c>
      <c r="J102" s="318" t="s">
        <v>203</v>
      </c>
      <c r="K102" s="319" t="s">
        <v>19202</v>
      </c>
      <c r="L102" s="319" t="s">
        <v>19202</v>
      </c>
      <c r="M102" s="319" t="s">
        <v>19202</v>
      </c>
      <c r="N102" s="319" t="s">
        <v>19202</v>
      </c>
      <c r="O102" s="319" t="s">
        <v>19202</v>
      </c>
      <c r="P102" s="320" t="s">
        <v>19204</v>
      </c>
      <c r="Q102" s="321" t="s">
        <v>19202</v>
      </c>
      <c r="R102" s="150" t="str">
        <f ca="1">IF(ISERROR($V102),"",OFFSET('Smelter Look-up'!$C$4,$V102-4,0)&amp;"")</f>
        <v>Tianjin Maolian Science &amp; Technology Co., Ltd.</v>
      </c>
      <c r="S102" s="156" t="str">
        <f t="shared" ca="1" si="5"/>
        <v>CN</v>
      </c>
      <c r="T102" s="156" t="str">
        <f ca="1">IF(B102="","",IF(ISERROR(MATCH($J102,SorP!$B$1:$B$6226,0)),"",INDIRECT("'SorP'!$A$"&amp;MATCH($S102&amp;$J102,SorP!C:C,0))))</f>
        <v>CN-TJ</v>
      </c>
      <c r="U102" s="169"/>
      <c r="V102" s="170">
        <f>IF(C102="",NA(),MATCH($B102&amp;$C102,'Smelter Look-up'!$J:$J,0))</f>
        <v>137</v>
      </c>
      <c r="X102" s="171">
        <f t="shared" si="3"/>
        <v>0</v>
      </c>
      <c r="AB102" s="171" t="str">
        <f t="shared" si="4"/>
        <v>CobaltTianjin Maolian Science &amp; Technology Co., Ltd.</v>
      </c>
    </row>
    <row r="103" spans="1:28" s="171" customFormat="1" ht="27">
      <c r="A103" s="324" t="s">
        <v>201</v>
      </c>
      <c r="B103" s="315" t="s">
        <v>43</v>
      </c>
      <c r="C103" s="316" t="s">
        <v>200</v>
      </c>
      <c r="D103" s="315" t="s">
        <v>200</v>
      </c>
      <c r="E103" s="315" t="s">
        <v>71</v>
      </c>
      <c r="F103" s="315" t="s">
        <v>201</v>
      </c>
      <c r="G103" s="315" t="s">
        <v>12</v>
      </c>
      <c r="H103" s="317" t="s">
        <v>202</v>
      </c>
      <c r="I103" s="318" t="s">
        <v>202</v>
      </c>
      <c r="J103" s="318" t="s">
        <v>203</v>
      </c>
      <c r="K103" s="319" t="s">
        <v>19202</v>
      </c>
      <c r="L103" s="319" t="s">
        <v>19202</v>
      </c>
      <c r="M103" s="319" t="s">
        <v>19202</v>
      </c>
      <c r="N103" s="319" t="s">
        <v>19202</v>
      </c>
      <c r="O103" s="319" t="s">
        <v>19202</v>
      </c>
      <c r="P103" s="320" t="s">
        <v>19204</v>
      </c>
      <c r="Q103" s="321" t="s">
        <v>19202</v>
      </c>
      <c r="R103" s="150" t="str">
        <f ca="1">IF(ISERROR($V103),"",OFFSET('Smelter Look-up'!$C$4,$V103-4,0)&amp;"")</f>
        <v>Tianjin Maolian Science &amp; Technology Co., Ltd.</v>
      </c>
      <c r="S103" s="156" t="str">
        <f t="shared" ca="1" si="5"/>
        <v>CN</v>
      </c>
      <c r="T103" s="156" t="str">
        <f ca="1">IF(B103="","",IF(ISERROR(MATCH($J103,SorP!$B$1:$B$6226,0)),"",INDIRECT("'SorP'!$A$"&amp;MATCH($S103&amp;$J103,SorP!C:C,0))))</f>
        <v>CN-TJ</v>
      </c>
      <c r="U103" s="169"/>
      <c r="V103" s="170">
        <f>IF(C103="",NA(),MATCH($B103&amp;$C103,'Smelter Look-up'!$J:$J,0))</f>
        <v>137</v>
      </c>
      <c r="X103" s="171">
        <f t="shared" si="3"/>
        <v>0</v>
      </c>
      <c r="AB103" s="171" t="str">
        <f t="shared" si="4"/>
        <v>CobaltTianjin Maolian Science &amp; Technology Co., Ltd.</v>
      </c>
    </row>
    <row r="104" spans="1:28" s="171" customFormat="1" ht="20">
      <c r="A104" s="324" t="s">
        <v>108</v>
      </c>
      <c r="B104" s="315" t="s">
        <v>43</v>
      </c>
      <c r="C104" s="316" t="s">
        <v>105</v>
      </c>
      <c r="D104" s="315" t="s">
        <v>106</v>
      </c>
      <c r="E104" s="315" t="s">
        <v>107</v>
      </c>
      <c r="F104" s="315" t="s">
        <v>108</v>
      </c>
      <c r="G104" s="315" t="s">
        <v>12</v>
      </c>
      <c r="H104" s="323" t="s">
        <v>19208</v>
      </c>
      <c r="I104" s="318" t="s">
        <v>109</v>
      </c>
      <c r="J104" s="318" t="s">
        <v>110</v>
      </c>
      <c r="K104" s="319" t="s">
        <v>19202</v>
      </c>
      <c r="L104" s="319" t="s">
        <v>19202</v>
      </c>
      <c r="M104" s="319" t="s">
        <v>19202</v>
      </c>
      <c r="N104" s="319" t="s">
        <v>19202</v>
      </c>
      <c r="O104" s="319" t="s">
        <v>19202</v>
      </c>
      <c r="P104" s="320" t="s">
        <v>19204</v>
      </c>
      <c r="Q104" s="321" t="s">
        <v>19202</v>
      </c>
      <c r="R104" s="150" t="str">
        <f ca="1">IF(ISERROR($V104),"",OFFSET('Smelter Look-up'!$C$4,$V104-4,0)&amp;"")</f>
        <v>Umicore Finland Oy</v>
      </c>
      <c r="S104" s="156" t="str">
        <f t="shared" ca="1" si="5"/>
        <v>FI</v>
      </c>
      <c r="T104" s="156" t="str">
        <f ca="1">IF(B104="","",IF(ISERROR(MATCH($J104,SorP!$B$1:$B$6226,0)),"",INDIRECT("'SorP'!$A$"&amp;MATCH($S104&amp;$J104,SorP!C:C,0))))</f>
        <v>FI-07</v>
      </c>
      <c r="U104" s="169"/>
      <c r="V104" s="170">
        <f>IF(C104="",NA(),MATCH($B104&amp;$C104,'Smelter Look-up'!$J:$J,0))</f>
        <v>24</v>
      </c>
      <c r="X104" s="171">
        <f t="shared" si="3"/>
        <v>0</v>
      </c>
      <c r="AB104" s="171" t="str">
        <f t="shared" si="4"/>
        <v>CobaltFreeport Kokkola</v>
      </c>
    </row>
    <row r="105" spans="1:28" s="171" customFormat="1" ht="20">
      <c r="A105" s="324" t="s">
        <v>108</v>
      </c>
      <c r="B105" s="315" t="s">
        <v>43</v>
      </c>
      <c r="C105" s="316" t="s">
        <v>106</v>
      </c>
      <c r="D105" s="315" t="s">
        <v>106</v>
      </c>
      <c r="E105" s="315" t="s">
        <v>107</v>
      </c>
      <c r="F105" s="315" t="s">
        <v>108</v>
      </c>
      <c r="G105" s="315" t="s">
        <v>12</v>
      </c>
      <c r="H105" s="317" t="s">
        <v>19202</v>
      </c>
      <c r="I105" s="318" t="s">
        <v>109</v>
      </c>
      <c r="J105" s="318" t="s">
        <v>110</v>
      </c>
      <c r="K105" s="319" t="s">
        <v>19202</v>
      </c>
      <c r="L105" s="319" t="s">
        <v>19202</v>
      </c>
      <c r="M105" s="319" t="s">
        <v>19202</v>
      </c>
      <c r="N105" s="319" t="s">
        <v>19202</v>
      </c>
      <c r="O105" s="319" t="s">
        <v>19202</v>
      </c>
      <c r="P105" s="320" t="s">
        <v>19204</v>
      </c>
      <c r="Q105" s="321" t="s">
        <v>19202</v>
      </c>
      <c r="R105" s="150" t="str">
        <f ca="1">IF(ISERROR($V105),"",OFFSET('Smelter Look-up'!$C$4,$V105-4,0)&amp;"")</f>
        <v>Umicore Finland Oy</v>
      </c>
      <c r="S105" s="156" t="str">
        <f t="shared" ca="1" si="5"/>
        <v>FI</v>
      </c>
      <c r="T105" s="156" t="str">
        <f ca="1">IF(B105="","",IF(ISERROR(MATCH($J105,SorP!$B$1:$B$6226,0)),"",INDIRECT("'SorP'!$A$"&amp;MATCH($S105&amp;$J105,SorP!C:C,0))))</f>
        <v>FI-07</v>
      </c>
      <c r="U105" s="169"/>
      <c r="V105" s="170">
        <f>IF(C105="",NA(),MATCH($B105&amp;$C105,'Smelter Look-up'!$J:$J,0))</f>
        <v>138</v>
      </c>
      <c r="X105" s="171">
        <f t="shared" si="3"/>
        <v>0</v>
      </c>
      <c r="AB105" s="171" t="str">
        <f t="shared" si="4"/>
        <v>CobaltUmicore Finland Oy</v>
      </c>
    </row>
    <row r="106" spans="1:28" s="171" customFormat="1" ht="20">
      <c r="A106" s="324" t="s">
        <v>108</v>
      </c>
      <c r="B106" s="315" t="s">
        <v>43</v>
      </c>
      <c r="C106" s="316" t="s">
        <v>106</v>
      </c>
      <c r="D106" s="315" t="s">
        <v>106</v>
      </c>
      <c r="E106" s="315" t="s">
        <v>107</v>
      </c>
      <c r="F106" s="315" t="s">
        <v>108</v>
      </c>
      <c r="G106" s="315" t="s">
        <v>12</v>
      </c>
      <c r="H106" s="323" t="s">
        <v>19208</v>
      </c>
      <c r="I106" s="318" t="s">
        <v>109</v>
      </c>
      <c r="J106" s="318" t="s">
        <v>110</v>
      </c>
      <c r="K106" s="319" t="s">
        <v>19202</v>
      </c>
      <c r="L106" s="319" t="s">
        <v>19202</v>
      </c>
      <c r="M106" s="319" t="s">
        <v>19202</v>
      </c>
      <c r="N106" s="319" t="s">
        <v>19202</v>
      </c>
      <c r="O106" s="319" t="s">
        <v>19202</v>
      </c>
      <c r="P106" s="320" t="s">
        <v>19204</v>
      </c>
      <c r="Q106" s="321" t="s">
        <v>19202</v>
      </c>
      <c r="R106" s="150" t="str">
        <f ca="1">IF(ISERROR($V106),"",OFFSET('Smelter Look-up'!$C$4,$V106-4,0)&amp;"")</f>
        <v>Umicore Finland Oy</v>
      </c>
      <c r="S106" s="156" t="str">
        <f t="shared" ca="1" si="5"/>
        <v>FI</v>
      </c>
      <c r="T106" s="156" t="str">
        <f ca="1">IF(B106="","",IF(ISERROR(MATCH($J106,SorP!$B$1:$B$6226,0)),"",INDIRECT("'SorP'!$A$"&amp;MATCH($S106&amp;$J106,SorP!C:C,0))))</f>
        <v>FI-07</v>
      </c>
      <c r="U106" s="169"/>
      <c r="V106" s="170">
        <f>IF(C106="",NA(),MATCH($B106&amp;$C106,'Smelter Look-up'!$J:$J,0))</f>
        <v>138</v>
      </c>
      <c r="X106" s="171">
        <f t="shared" si="3"/>
        <v>0</v>
      </c>
      <c r="AB106" s="171" t="str">
        <f t="shared" si="4"/>
        <v>CobaltUmicore Finland Oy</v>
      </c>
    </row>
    <row r="107" spans="1:28" s="171" customFormat="1" ht="20">
      <c r="A107" s="324" t="s">
        <v>108</v>
      </c>
      <c r="B107" s="315" t="s">
        <v>43</v>
      </c>
      <c r="C107" s="316" t="s">
        <v>106</v>
      </c>
      <c r="D107" s="315" t="s">
        <v>106</v>
      </c>
      <c r="E107" s="315" t="s">
        <v>107</v>
      </c>
      <c r="F107" s="315" t="s">
        <v>108</v>
      </c>
      <c r="G107" s="315" t="s">
        <v>12</v>
      </c>
      <c r="H107" s="317" t="s">
        <v>109</v>
      </c>
      <c r="I107" s="318" t="s">
        <v>109</v>
      </c>
      <c r="J107" s="318" t="s">
        <v>110</v>
      </c>
      <c r="K107" s="319" t="s">
        <v>19230</v>
      </c>
      <c r="L107" s="319" t="s">
        <v>19230</v>
      </c>
      <c r="M107" s="319" t="s">
        <v>19230</v>
      </c>
      <c r="N107" s="319" t="s">
        <v>19230</v>
      </c>
      <c r="O107" s="319" t="s">
        <v>19230</v>
      </c>
      <c r="P107" s="320" t="s">
        <v>19204</v>
      </c>
      <c r="Q107" s="321" t="s">
        <v>19202</v>
      </c>
      <c r="R107" s="150" t="str">
        <f ca="1">IF(ISERROR($V107),"",OFFSET('Smelter Look-up'!$C$4,$V107-4,0)&amp;"")</f>
        <v>Umicore Finland Oy</v>
      </c>
      <c r="S107" s="156" t="str">
        <f t="shared" ca="1" si="5"/>
        <v>FI</v>
      </c>
      <c r="T107" s="156" t="str">
        <f ca="1">IF(B107="","",IF(ISERROR(MATCH($J107,SorP!$B$1:$B$6226,0)),"",INDIRECT("'SorP'!$A$"&amp;MATCH($S107&amp;$J107,SorP!C:C,0))))</f>
        <v>FI-07</v>
      </c>
      <c r="U107" s="169"/>
      <c r="V107" s="170">
        <f>IF(C107="",NA(),MATCH($B107&amp;$C107,'Smelter Look-up'!$J:$J,0))</f>
        <v>138</v>
      </c>
      <c r="X107" s="171">
        <f t="shared" si="3"/>
        <v>0</v>
      </c>
      <c r="AB107" s="171" t="str">
        <f t="shared" si="4"/>
        <v>CobaltUmicore Finland Oy</v>
      </c>
    </row>
    <row r="108" spans="1:28" s="171" customFormat="1" ht="27">
      <c r="A108" s="324" t="s">
        <v>108</v>
      </c>
      <c r="B108" s="315" t="s">
        <v>43</v>
      </c>
      <c r="C108" s="316" t="s">
        <v>106</v>
      </c>
      <c r="D108" s="315" t="s">
        <v>106</v>
      </c>
      <c r="E108" s="315" t="s">
        <v>107</v>
      </c>
      <c r="F108" s="315" t="s">
        <v>108</v>
      </c>
      <c r="G108" s="315" t="s">
        <v>12</v>
      </c>
      <c r="H108" s="317" t="s">
        <v>19231</v>
      </c>
      <c r="I108" s="318" t="s">
        <v>109</v>
      </c>
      <c r="J108" s="318" t="s">
        <v>110</v>
      </c>
      <c r="K108" s="319" t="s">
        <v>19202</v>
      </c>
      <c r="L108" s="319" t="s">
        <v>19202</v>
      </c>
      <c r="M108" s="319" t="s">
        <v>19202</v>
      </c>
      <c r="N108" s="319" t="s">
        <v>19232</v>
      </c>
      <c r="O108" s="319" t="s">
        <v>19232</v>
      </c>
      <c r="P108" s="320" t="s">
        <v>19204</v>
      </c>
      <c r="Q108" s="321" t="s">
        <v>19202</v>
      </c>
      <c r="R108" s="150" t="str">
        <f ca="1">IF(ISERROR($V108),"",OFFSET('Smelter Look-up'!$C$4,$V108-4,0)&amp;"")</f>
        <v>Umicore Finland Oy</v>
      </c>
      <c r="S108" s="156" t="str">
        <f t="shared" ca="1" si="5"/>
        <v>FI</v>
      </c>
      <c r="T108" s="156" t="str">
        <f ca="1">IF(B108="","",IF(ISERROR(MATCH($J108,SorP!$B$1:$B$6226,0)),"",INDIRECT("'SorP'!$A$"&amp;MATCH($S108&amp;$J108,SorP!C:C,0))))</f>
        <v>FI-07</v>
      </c>
      <c r="U108" s="169"/>
      <c r="V108" s="170">
        <f>IF(C108="",NA(),MATCH($B108&amp;$C108,'Smelter Look-up'!$J:$J,0))</f>
        <v>138</v>
      </c>
      <c r="X108" s="171">
        <f t="shared" si="3"/>
        <v>0</v>
      </c>
      <c r="AB108" s="171" t="str">
        <f t="shared" si="4"/>
        <v>CobaltUmicore Finland Oy</v>
      </c>
    </row>
    <row r="109" spans="1:28" s="171" customFormat="1" ht="27">
      <c r="A109" s="324" t="s">
        <v>108</v>
      </c>
      <c r="B109" s="315" t="s">
        <v>43</v>
      </c>
      <c r="C109" s="316" t="s">
        <v>106</v>
      </c>
      <c r="D109" s="315" t="s">
        <v>106</v>
      </c>
      <c r="E109" s="315" t="s">
        <v>107</v>
      </c>
      <c r="F109" s="315" t="s">
        <v>108</v>
      </c>
      <c r="G109" s="315" t="s">
        <v>12</v>
      </c>
      <c r="H109" s="317" t="s">
        <v>19231</v>
      </c>
      <c r="I109" s="318" t="s">
        <v>109</v>
      </c>
      <c r="J109" s="318" t="s">
        <v>110</v>
      </c>
      <c r="K109" s="319" t="s">
        <v>19233</v>
      </c>
      <c r="L109" s="319" t="s">
        <v>19234</v>
      </c>
      <c r="M109" s="319" t="s">
        <v>22</v>
      </c>
      <c r="N109" s="319" t="s">
        <v>19235</v>
      </c>
      <c r="O109" s="319" t="s">
        <v>19202</v>
      </c>
      <c r="P109" s="320" t="s">
        <v>19204</v>
      </c>
      <c r="Q109" s="321" t="s">
        <v>19202</v>
      </c>
      <c r="R109" s="150" t="str">
        <f ca="1">IF(ISERROR($V109),"",OFFSET('Smelter Look-up'!$C$4,$V109-4,0)&amp;"")</f>
        <v>Umicore Finland Oy</v>
      </c>
      <c r="S109" s="156" t="str">
        <f t="shared" ca="1" si="5"/>
        <v>FI</v>
      </c>
      <c r="T109" s="156" t="str">
        <f ca="1">IF(B109="","",IF(ISERROR(MATCH($J109,SorP!$B$1:$B$6226,0)),"",INDIRECT("'SorP'!$A$"&amp;MATCH($S109&amp;$J109,SorP!C:C,0))))</f>
        <v>FI-07</v>
      </c>
      <c r="U109" s="169"/>
      <c r="V109" s="170">
        <f>IF(C109="",NA(),MATCH($B109&amp;$C109,'Smelter Look-up'!$J:$J,0))</f>
        <v>138</v>
      </c>
      <c r="X109" s="171">
        <f t="shared" si="3"/>
        <v>0</v>
      </c>
      <c r="AB109" s="171" t="str">
        <f t="shared" si="4"/>
        <v>CobaltUmicore Finland Oy</v>
      </c>
    </row>
    <row r="110" spans="1:28" s="171" customFormat="1" ht="20">
      <c r="A110" s="324" t="s">
        <v>291</v>
      </c>
      <c r="B110" s="315" t="s">
        <v>43</v>
      </c>
      <c r="C110" s="316" t="s">
        <v>289</v>
      </c>
      <c r="D110" s="315" t="s">
        <v>289</v>
      </c>
      <c r="E110" s="315" t="s">
        <v>290</v>
      </c>
      <c r="F110" s="315" t="s">
        <v>291</v>
      </c>
      <c r="G110" s="315" t="s">
        <v>12</v>
      </c>
      <c r="H110" s="317" t="s">
        <v>19202</v>
      </c>
      <c r="I110" s="318" t="s">
        <v>292</v>
      </c>
      <c r="J110" s="318" t="s">
        <v>293</v>
      </c>
      <c r="K110" s="319" t="s">
        <v>19202</v>
      </c>
      <c r="L110" s="319" t="s">
        <v>19202</v>
      </c>
      <c r="M110" s="319" t="s">
        <v>19202</v>
      </c>
      <c r="N110" s="319" t="s">
        <v>19202</v>
      </c>
      <c r="O110" s="319" t="s">
        <v>19202</v>
      </c>
      <c r="P110" s="320" t="s">
        <v>19204</v>
      </c>
      <c r="Q110" s="321" t="s">
        <v>19202</v>
      </c>
      <c r="R110" s="150" t="str">
        <f ca="1">IF(ISERROR($V110),"",OFFSET('Smelter Look-up'!$C$4,$V110-4,0)&amp;"")</f>
        <v>Umicore Olen</v>
      </c>
      <c r="S110" s="156" t="str">
        <f t="shared" ca="1" si="5"/>
        <v>BE</v>
      </c>
      <c r="T110" s="156" t="str">
        <f ca="1">IF(B110="","",IF(ISERROR(MATCH($J110,SorP!$B$1:$B$6226,0)),"",INDIRECT("'SorP'!$A$"&amp;MATCH($S110&amp;$J110,SorP!C:C,0))))</f>
        <v>BE-VAN</v>
      </c>
      <c r="U110" s="169"/>
      <c r="V110" s="170">
        <f>IF(C110="",NA(),MATCH($B110&amp;$C110,'Smelter Look-up'!$J:$J,0))</f>
        <v>139</v>
      </c>
      <c r="X110" s="171">
        <f t="shared" si="3"/>
        <v>0</v>
      </c>
      <c r="AB110" s="171" t="str">
        <f t="shared" si="4"/>
        <v>CobaltUmicore Olen</v>
      </c>
    </row>
    <row r="111" spans="1:28" s="171" customFormat="1" ht="20">
      <c r="A111" s="324" t="s">
        <v>291</v>
      </c>
      <c r="B111" s="315" t="s">
        <v>43</v>
      </c>
      <c r="C111" s="316" t="s">
        <v>289</v>
      </c>
      <c r="D111" s="315" t="s">
        <v>289</v>
      </c>
      <c r="E111" s="315" t="s">
        <v>290</v>
      </c>
      <c r="F111" s="315" t="s">
        <v>291</v>
      </c>
      <c r="G111" s="315" t="s">
        <v>12</v>
      </c>
      <c r="H111" s="323" t="s">
        <v>19208</v>
      </c>
      <c r="I111" s="318" t="s">
        <v>292</v>
      </c>
      <c r="J111" s="318" t="s">
        <v>293</v>
      </c>
      <c r="K111" s="319" t="s">
        <v>19202</v>
      </c>
      <c r="L111" s="319" t="s">
        <v>19202</v>
      </c>
      <c r="M111" s="319" t="s">
        <v>19202</v>
      </c>
      <c r="N111" s="319" t="s">
        <v>19202</v>
      </c>
      <c r="O111" s="319" t="s">
        <v>19202</v>
      </c>
      <c r="P111" s="320" t="s">
        <v>19204</v>
      </c>
      <c r="Q111" s="321" t="s">
        <v>19202</v>
      </c>
      <c r="R111" s="150" t="str">
        <f ca="1">IF(ISERROR($V111),"",OFFSET('Smelter Look-up'!$C$4,$V111-4,0)&amp;"")</f>
        <v>Umicore Olen</v>
      </c>
      <c r="S111" s="156" t="str">
        <f t="shared" ca="1" si="5"/>
        <v>BE</v>
      </c>
      <c r="T111" s="156" t="str">
        <f ca="1">IF(B111="","",IF(ISERROR(MATCH($J111,SorP!$B$1:$B$6226,0)),"",INDIRECT("'SorP'!$A$"&amp;MATCH($S111&amp;$J111,SorP!C:C,0))))</f>
        <v>BE-VAN</v>
      </c>
      <c r="U111" s="169"/>
      <c r="V111" s="170">
        <f>IF(C111="",NA(),MATCH($B111&amp;$C111,'Smelter Look-up'!$J:$J,0))</f>
        <v>139</v>
      </c>
      <c r="X111" s="171">
        <f t="shared" si="3"/>
        <v>0</v>
      </c>
      <c r="AB111" s="171" t="str">
        <f t="shared" si="4"/>
        <v>CobaltUmicore Olen</v>
      </c>
    </row>
    <row r="112" spans="1:28" s="171" customFormat="1" ht="27">
      <c r="A112" s="324" t="s">
        <v>291</v>
      </c>
      <c r="B112" s="315" t="s">
        <v>43</v>
      </c>
      <c r="C112" s="316" t="s">
        <v>289</v>
      </c>
      <c r="D112" s="315" t="s">
        <v>289</v>
      </c>
      <c r="E112" s="315" t="s">
        <v>290</v>
      </c>
      <c r="F112" s="315" t="s">
        <v>291</v>
      </c>
      <c r="G112" s="315" t="s">
        <v>12</v>
      </c>
      <c r="H112" s="323" t="s">
        <v>19208</v>
      </c>
      <c r="I112" s="318" t="s">
        <v>292</v>
      </c>
      <c r="J112" s="318" t="s">
        <v>293</v>
      </c>
      <c r="K112" s="319" t="s">
        <v>19236</v>
      </c>
      <c r="L112" s="319" t="s">
        <v>19237</v>
      </c>
      <c r="M112" s="319" t="s">
        <v>19202</v>
      </c>
      <c r="N112" s="319" t="s">
        <v>19236</v>
      </c>
      <c r="O112" s="319" t="s">
        <v>290</v>
      </c>
      <c r="P112" s="320" t="s">
        <v>19204</v>
      </c>
      <c r="Q112" s="321" t="s">
        <v>19238</v>
      </c>
      <c r="R112" s="150" t="str">
        <f ca="1">IF(ISERROR($V112),"",OFFSET('Smelter Look-up'!$C$4,$V112-4,0)&amp;"")</f>
        <v>Umicore Olen</v>
      </c>
      <c r="S112" s="156" t="str">
        <f t="shared" ca="1" si="5"/>
        <v>BE</v>
      </c>
      <c r="T112" s="156" t="str">
        <f ca="1">IF(B112="","",IF(ISERROR(MATCH($J112,SorP!$B$1:$B$6226,0)),"",INDIRECT("'SorP'!$A$"&amp;MATCH($S112&amp;$J112,SorP!C:C,0))))</f>
        <v>BE-VAN</v>
      </c>
      <c r="U112" s="169"/>
      <c r="V112" s="170">
        <f>IF(C112="",NA(),MATCH($B112&amp;$C112,'Smelter Look-up'!$J:$J,0))</f>
        <v>139</v>
      </c>
      <c r="X112" s="171">
        <f t="shared" si="3"/>
        <v>0</v>
      </c>
      <c r="AB112" s="171" t="str">
        <f t="shared" si="4"/>
        <v>CobaltUmicore Olen</v>
      </c>
    </row>
    <row r="113" spans="1:28" s="171" customFormat="1" ht="20">
      <c r="A113" s="324" t="s">
        <v>291</v>
      </c>
      <c r="B113" s="315" t="s">
        <v>43</v>
      </c>
      <c r="C113" s="316" t="s">
        <v>289</v>
      </c>
      <c r="D113" s="315" t="s">
        <v>289</v>
      </c>
      <c r="E113" s="315" t="s">
        <v>290</v>
      </c>
      <c r="F113" s="315" t="s">
        <v>291</v>
      </c>
      <c r="G113" s="315" t="s">
        <v>12</v>
      </c>
      <c r="H113" s="317" t="s">
        <v>292</v>
      </c>
      <c r="I113" s="318" t="s">
        <v>292</v>
      </c>
      <c r="J113" s="318" t="s">
        <v>293</v>
      </c>
      <c r="K113" s="319" t="s">
        <v>19202</v>
      </c>
      <c r="L113" s="319" t="s">
        <v>19202</v>
      </c>
      <c r="M113" s="319" t="s">
        <v>19202</v>
      </c>
      <c r="N113" s="319" t="s">
        <v>19202</v>
      </c>
      <c r="O113" s="319" t="s">
        <v>19202</v>
      </c>
      <c r="P113" s="320" t="s">
        <v>19204</v>
      </c>
      <c r="Q113" s="321" t="s">
        <v>19202</v>
      </c>
      <c r="R113" s="150" t="str">
        <f ca="1">IF(ISERROR($V113),"",OFFSET('Smelter Look-up'!$C$4,$V113-4,0)&amp;"")</f>
        <v>Umicore Olen</v>
      </c>
      <c r="S113" s="156" t="str">
        <f t="shared" ca="1" si="5"/>
        <v>BE</v>
      </c>
      <c r="T113" s="156" t="str">
        <f ca="1">IF(B113="","",IF(ISERROR(MATCH($J113,SorP!$B$1:$B$6226,0)),"",INDIRECT("'SorP'!$A$"&amp;MATCH($S113&amp;$J113,SorP!C:C,0))))</f>
        <v>BE-VAN</v>
      </c>
      <c r="U113" s="169"/>
      <c r="V113" s="170">
        <f>IF(C113="",NA(),MATCH($B113&amp;$C113,'Smelter Look-up'!$J:$J,0))</f>
        <v>139</v>
      </c>
      <c r="X113" s="171">
        <f t="shared" si="3"/>
        <v>0</v>
      </c>
      <c r="AB113" s="171" t="str">
        <f t="shared" si="4"/>
        <v>CobaltUmicore Olen</v>
      </c>
    </row>
    <row r="114" spans="1:28" s="171" customFormat="1" ht="40.5">
      <c r="A114" s="324" t="s">
        <v>19202</v>
      </c>
      <c r="B114" s="315" t="s">
        <v>43</v>
      </c>
      <c r="C114" s="316" t="s">
        <v>19205</v>
      </c>
      <c r="D114" s="315" t="s">
        <v>19239</v>
      </c>
      <c r="E114" s="315" t="s">
        <v>101</v>
      </c>
      <c r="F114" s="315" t="s">
        <v>19202</v>
      </c>
      <c r="G114" s="315" t="s">
        <v>19202</v>
      </c>
      <c r="H114" s="317" t="s">
        <v>19240</v>
      </c>
      <c r="I114" s="318" t="s">
        <v>103</v>
      </c>
      <c r="J114" s="318" t="s">
        <v>104</v>
      </c>
      <c r="K114" s="319" t="s">
        <v>19202</v>
      </c>
      <c r="L114" s="319" t="s">
        <v>19202</v>
      </c>
      <c r="M114" s="319" t="s">
        <v>19202</v>
      </c>
      <c r="N114" s="319" t="s">
        <v>19202</v>
      </c>
      <c r="O114" s="319" t="s">
        <v>19202</v>
      </c>
      <c r="P114" s="320" t="s">
        <v>19204</v>
      </c>
      <c r="Q114" s="321" t="s">
        <v>19202</v>
      </c>
      <c r="R114" s="150" t="str">
        <f ca="1">IF(ISERROR($V114),"",OFFSET('Smelter Look-up'!$C$4,$V114-4,0)&amp;"")</f>
        <v/>
      </c>
      <c r="S114" s="156" t="str">
        <f t="shared" ca="1" si="5"/>
        <v>CA</v>
      </c>
      <c r="T114" s="156" t="str">
        <f ca="1">IF(B114="","",IF(ISERROR(MATCH($J114,SorP!$B$1:$B$6226,0)),"",INDIRECT("'SorP'!$A$"&amp;MATCH($S114&amp;$J114,SorP!C:C,0))))</f>
        <v>CA-ON</v>
      </c>
      <c r="U114" s="169"/>
      <c r="V114" s="170" t="e">
        <f>IF(C114="",NA(),MATCH($B114&amp;$C114,'Smelter Look-up'!$J:$J,0))</f>
        <v>#N/A</v>
      </c>
      <c r="X114" s="171">
        <f t="shared" si="3"/>
        <v>0</v>
      </c>
      <c r="AB114" s="171" t="str">
        <f t="shared" si="4"/>
        <v>CobaltSmelter Not Yet Identified</v>
      </c>
    </row>
    <row r="115" spans="1:28" s="171" customFormat="1" ht="20">
      <c r="A115" s="324" t="s">
        <v>314</v>
      </c>
      <c r="B115" s="315" t="s">
        <v>43</v>
      </c>
      <c r="C115" s="316" t="s">
        <v>19241</v>
      </c>
      <c r="D115" s="315" t="s">
        <v>19241</v>
      </c>
      <c r="E115" s="315" t="s">
        <v>71</v>
      </c>
      <c r="F115" s="315" t="s">
        <v>314</v>
      </c>
      <c r="G115" s="315" t="s">
        <v>12</v>
      </c>
      <c r="H115" s="317" t="s">
        <v>19202</v>
      </c>
      <c r="I115" s="318" t="s">
        <v>315</v>
      </c>
      <c r="J115" s="318" t="s">
        <v>211</v>
      </c>
      <c r="K115" s="319" t="s">
        <v>19202</v>
      </c>
      <c r="L115" s="319" t="s">
        <v>19202</v>
      </c>
      <c r="M115" s="319" t="s">
        <v>19202</v>
      </c>
      <c r="N115" s="319" t="s">
        <v>19202</v>
      </c>
      <c r="O115" s="319" t="s">
        <v>19202</v>
      </c>
      <c r="P115" s="320" t="s">
        <v>19204</v>
      </c>
      <c r="Q115" s="321" t="s">
        <v>19202</v>
      </c>
      <c r="R115" s="150" t="str">
        <f ca="1">IF(ISERROR($V115),"",OFFSET('Smelter Look-up'!$C$4,$V115-4,0)&amp;"")</f>
        <v/>
      </c>
      <c r="S115" s="156" t="str">
        <f t="shared" ca="1" si="5"/>
        <v>CN</v>
      </c>
      <c r="T115" s="156" t="str">
        <f ca="1">IF(B115="","",IF(ISERROR(MATCH($J115,SorP!$B$1:$B$6226,0)),"",INDIRECT("'SorP'!$A$"&amp;MATCH($S115&amp;$J115,SorP!C:C,0))))</f>
        <v>CN-ZJ</v>
      </c>
      <c r="U115" s="169"/>
      <c r="V115" s="170" t="e">
        <f>IF(C115="",NA(),MATCH($B115&amp;$C115,'Smelter Look-up'!$J:$J,0))</f>
        <v>#N/A</v>
      </c>
      <c r="X115" s="171">
        <f t="shared" si="3"/>
        <v>0</v>
      </c>
      <c r="AB115" s="171" t="str">
        <f t="shared" si="4"/>
        <v>CobaltZhejiang Huayou Cobalt Co.,Ltd.</v>
      </c>
    </row>
    <row r="116" spans="1:28" s="171" customFormat="1" ht="20">
      <c r="A116" s="324" t="s">
        <v>314</v>
      </c>
      <c r="B116" s="315" t="s">
        <v>43</v>
      </c>
      <c r="C116" s="316" t="s">
        <v>19241</v>
      </c>
      <c r="D116" s="315" t="s">
        <v>19241</v>
      </c>
      <c r="E116" s="315" t="s">
        <v>71</v>
      </c>
      <c r="F116" s="315" t="s">
        <v>314</v>
      </c>
      <c r="G116" s="315" t="s">
        <v>12</v>
      </c>
      <c r="H116" s="317" t="s">
        <v>315</v>
      </c>
      <c r="I116" s="318" t="s">
        <v>315</v>
      </c>
      <c r="J116" s="318" t="s">
        <v>211</v>
      </c>
      <c r="K116" s="319" t="s">
        <v>19202</v>
      </c>
      <c r="L116" s="319" t="s">
        <v>19202</v>
      </c>
      <c r="M116" s="319" t="s">
        <v>19202</v>
      </c>
      <c r="N116" s="319" t="s">
        <v>19202</v>
      </c>
      <c r="O116" s="319" t="s">
        <v>19202</v>
      </c>
      <c r="P116" s="320" t="s">
        <v>19204</v>
      </c>
      <c r="Q116" s="321" t="s">
        <v>19202</v>
      </c>
      <c r="R116" s="150" t="str">
        <f ca="1">IF(ISERROR($V116),"",OFFSET('Smelter Look-up'!$C$4,$V116-4,0)&amp;"")</f>
        <v/>
      </c>
      <c r="S116" s="156" t="str">
        <f t="shared" ca="1" si="5"/>
        <v>CN</v>
      </c>
      <c r="T116" s="156" t="str">
        <f ca="1">IF(B116="","",IF(ISERROR(MATCH($J116,SorP!$B$1:$B$6226,0)),"",INDIRECT("'SorP'!$A$"&amp;MATCH($S116&amp;$J116,SorP!C:C,0))))</f>
        <v>CN-ZJ</v>
      </c>
      <c r="U116" s="169"/>
      <c r="V116" s="170" t="e">
        <f>IF(C116="",NA(),MATCH($B116&amp;$C116,'Smelter Look-up'!$J:$J,0))</f>
        <v>#N/A</v>
      </c>
      <c r="X116" s="171">
        <f t="shared" si="3"/>
        <v>0</v>
      </c>
      <c r="AB116" s="171" t="str">
        <f t="shared" si="4"/>
        <v>CobaltZhejiang Huayou Cobalt Co.,Ltd.</v>
      </c>
    </row>
    <row r="117" spans="1:28" s="171" customFormat="1" ht="27">
      <c r="A117" s="324" t="s">
        <v>314</v>
      </c>
      <c r="B117" s="315" t="s">
        <v>43</v>
      </c>
      <c r="C117" s="316" t="s">
        <v>312</v>
      </c>
      <c r="D117" s="315" t="s">
        <v>313</v>
      </c>
      <c r="E117" s="315" t="s">
        <v>71</v>
      </c>
      <c r="F117" s="315" t="s">
        <v>314</v>
      </c>
      <c r="G117" s="315" t="s">
        <v>12</v>
      </c>
      <c r="H117" s="317" t="s">
        <v>19202</v>
      </c>
      <c r="I117" s="318" t="s">
        <v>315</v>
      </c>
      <c r="J117" s="318" t="s">
        <v>211</v>
      </c>
      <c r="K117" s="319" t="s">
        <v>19202</v>
      </c>
      <c r="L117" s="319" t="s">
        <v>19202</v>
      </c>
      <c r="M117" s="319" t="s">
        <v>19202</v>
      </c>
      <c r="N117" s="319" t="s">
        <v>19202</v>
      </c>
      <c r="O117" s="319" t="s">
        <v>19202</v>
      </c>
      <c r="P117" s="320" t="s">
        <v>19204</v>
      </c>
      <c r="Q117" s="321" t="s">
        <v>19202</v>
      </c>
      <c r="R117" s="150" t="str">
        <f ca="1">IF(ISERROR($V117),"",OFFSET('Smelter Look-up'!$C$4,$V117-4,0)&amp;"")</f>
        <v>Zhejiang Huayou Cobalt Company Limited</v>
      </c>
      <c r="S117" s="156" t="str">
        <f t="shared" ca="1" si="5"/>
        <v>CN</v>
      </c>
      <c r="T117" s="156" t="str">
        <f ca="1">IF(B117="","",IF(ISERROR(MATCH($J117,SorP!$B$1:$B$6226,0)),"",INDIRECT("'SorP'!$A$"&amp;MATCH($S117&amp;$J117,SorP!C:C,0))))</f>
        <v>CN-ZJ</v>
      </c>
      <c r="U117" s="169"/>
      <c r="V117" s="170">
        <f>IF(C117="",NA(),MATCH($B117&amp;$C117,'Smelter Look-up'!$J:$J,0))</f>
        <v>150</v>
      </c>
      <c r="X117" s="171">
        <f t="shared" si="3"/>
        <v>0</v>
      </c>
      <c r="AB117" s="171" t="str">
        <f t="shared" si="4"/>
        <v>CobaltZhejiang Huayou Cobalt Co., Ltd.</v>
      </c>
    </row>
    <row r="118" spans="1:28" s="171" customFormat="1" ht="27">
      <c r="A118" s="324" t="s">
        <v>314</v>
      </c>
      <c r="B118" s="315" t="s">
        <v>43</v>
      </c>
      <c r="C118" s="316" t="s">
        <v>313</v>
      </c>
      <c r="D118" s="315" t="s">
        <v>313</v>
      </c>
      <c r="E118" s="315" t="s">
        <v>71</v>
      </c>
      <c r="F118" s="315" t="s">
        <v>314</v>
      </c>
      <c r="G118" s="315" t="s">
        <v>12</v>
      </c>
      <c r="H118" s="317" t="s">
        <v>19202</v>
      </c>
      <c r="I118" s="318" t="s">
        <v>315</v>
      </c>
      <c r="J118" s="318" t="s">
        <v>211</v>
      </c>
      <c r="K118" s="319" t="s">
        <v>19202</v>
      </c>
      <c r="L118" s="319" t="s">
        <v>19202</v>
      </c>
      <c r="M118" s="319" t="s">
        <v>19202</v>
      </c>
      <c r="N118" s="319" t="s">
        <v>19202</v>
      </c>
      <c r="O118" s="319" t="s">
        <v>19202</v>
      </c>
      <c r="P118" s="320" t="s">
        <v>19204</v>
      </c>
      <c r="Q118" s="321" t="s">
        <v>19202</v>
      </c>
      <c r="R118" s="150" t="str">
        <f ca="1">IF(ISERROR($V118),"",OFFSET('Smelter Look-up'!$C$4,$V118-4,0)&amp;"")</f>
        <v>Zhejiang Huayou Cobalt Company Limited</v>
      </c>
      <c r="S118" s="156" t="str">
        <f t="shared" ca="1" si="5"/>
        <v>CN</v>
      </c>
      <c r="T118" s="156" t="str">
        <f ca="1">IF(B118="","",IF(ISERROR(MATCH($J118,SorP!$B$1:$B$6226,0)),"",INDIRECT("'SorP'!$A$"&amp;MATCH($S118&amp;$J118,SorP!C:C,0))))</f>
        <v>CN-ZJ</v>
      </c>
      <c r="U118" s="169"/>
      <c r="V118" s="170">
        <f>IF(C118="",NA(),MATCH($B118&amp;$C118,'Smelter Look-up'!$J:$J,0))</f>
        <v>151</v>
      </c>
      <c r="X118" s="171">
        <f t="shared" si="3"/>
        <v>0</v>
      </c>
      <c r="AB118" s="171" t="str">
        <f t="shared" si="4"/>
        <v>CobaltZhejiang Huayou Cobalt Company Limited</v>
      </c>
    </row>
    <row r="119" spans="1:28" s="171" customFormat="1" ht="27">
      <c r="A119" s="324" t="s">
        <v>314</v>
      </c>
      <c r="B119" s="315" t="s">
        <v>43</v>
      </c>
      <c r="C119" s="316" t="s">
        <v>313</v>
      </c>
      <c r="D119" s="315" t="s">
        <v>313</v>
      </c>
      <c r="E119" s="315" t="s">
        <v>71</v>
      </c>
      <c r="F119" s="315" t="s">
        <v>314</v>
      </c>
      <c r="G119" s="315" t="s">
        <v>12</v>
      </c>
      <c r="H119" s="317" t="s">
        <v>19202</v>
      </c>
      <c r="I119" s="318" t="s">
        <v>315</v>
      </c>
      <c r="J119" s="318" t="s">
        <v>211</v>
      </c>
      <c r="K119" s="319" t="s">
        <v>19202</v>
      </c>
      <c r="L119" s="319" t="s">
        <v>19202</v>
      </c>
      <c r="M119" s="319" t="s">
        <v>19202</v>
      </c>
      <c r="N119" s="319" t="s">
        <v>19202</v>
      </c>
      <c r="O119" s="319" t="s">
        <v>19202</v>
      </c>
      <c r="P119" s="320" t="s">
        <v>19224</v>
      </c>
      <c r="Q119" s="321" t="s">
        <v>19202</v>
      </c>
      <c r="R119" s="150" t="str">
        <f ca="1">IF(ISERROR($V119),"",OFFSET('Smelter Look-up'!$C$4,$V119-4,0)&amp;"")</f>
        <v>Zhejiang Huayou Cobalt Company Limited</v>
      </c>
      <c r="S119" s="156" t="str">
        <f t="shared" ca="1" si="5"/>
        <v>CN</v>
      </c>
      <c r="T119" s="156" t="str">
        <f ca="1">IF(B119="","",IF(ISERROR(MATCH($J119,SorP!$B$1:$B$6226,0)),"",INDIRECT("'SorP'!$A$"&amp;MATCH($S119&amp;$J119,SorP!C:C,0))))</f>
        <v>CN-ZJ</v>
      </c>
      <c r="U119" s="169"/>
      <c r="V119" s="170">
        <f>IF(C119="",NA(),MATCH($B119&amp;$C119,'Smelter Look-up'!$J:$J,0))</f>
        <v>151</v>
      </c>
      <c r="X119" s="171">
        <f t="shared" si="3"/>
        <v>0</v>
      </c>
      <c r="AB119" s="171" t="str">
        <f t="shared" si="4"/>
        <v>CobaltZhejiang Huayou Cobalt Company Limited</v>
      </c>
    </row>
    <row r="120" spans="1:28" s="171" customFormat="1" ht="27">
      <c r="A120" s="324" t="s">
        <v>314</v>
      </c>
      <c r="B120" s="315" t="s">
        <v>43</v>
      </c>
      <c r="C120" s="316" t="s">
        <v>313</v>
      </c>
      <c r="D120" s="315" t="s">
        <v>313</v>
      </c>
      <c r="E120" s="315" t="s">
        <v>71</v>
      </c>
      <c r="F120" s="315" t="s">
        <v>314</v>
      </c>
      <c r="G120" s="315" t="s">
        <v>12</v>
      </c>
      <c r="H120" s="323" t="s">
        <v>19208</v>
      </c>
      <c r="I120" s="318" t="s">
        <v>315</v>
      </c>
      <c r="J120" s="318" t="s">
        <v>19242</v>
      </c>
      <c r="K120" s="319" t="s">
        <v>19202</v>
      </c>
      <c r="L120" s="319" t="s">
        <v>19243</v>
      </c>
      <c r="M120" s="319" t="s">
        <v>19202</v>
      </c>
      <c r="N120" s="319" t="s">
        <v>19202</v>
      </c>
      <c r="O120" s="319" t="s">
        <v>71</v>
      </c>
      <c r="P120" s="320" t="s">
        <v>19204</v>
      </c>
      <c r="Q120" s="321" t="s">
        <v>19202</v>
      </c>
      <c r="R120" s="150" t="str">
        <f ca="1">IF(ISERROR($V120),"",OFFSET('Smelter Look-up'!$C$4,$V120-4,0)&amp;"")</f>
        <v>Zhejiang Huayou Cobalt Company Limited</v>
      </c>
      <c r="S120" s="156" t="str">
        <f t="shared" ca="1" si="5"/>
        <v>CN</v>
      </c>
      <c r="T120" s="156" t="str">
        <f ca="1">IF(B120="","",IF(ISERROR(MATCH($J120,SorP!$B$1:$B$6226,0)),"",INDIRECT("'SorP'!$A$"&amp;MATCH($S120&amp;$J120,SorP!C:C,0))))</f>
        <v/>
      </c>
      <c r="U120" s="169"/>
      <c r="V120" s="170">
        <f>IF(C120="",NA(),MATCH($B120&amp;$C120,'Smelter Look-up'!$J:$J,0))</f>
        <v>151</v>
      </c>
      <c r="X120" s="171">
        <f t="shared" si="3"/>
        <v>0</v>
      </c>
      <c r="AB120" s="171" t="str">
        <f t="shared" si="4"/>
        <v>CobaltZhejiang Huayou Cobalt Company Limited</v>
      </c>
    </row>
    <row r="121" spans="1:28" s="171" customFormat="1" ht="27">
      <c r="A121" s="324" t="s">
        <v>319</v>
      </c>
      <c r="B121" s="315" t="s">
        <v>43</v>
      </c>
      <c r="C121" s="316" t="s">
        <v>318</v>
      </c>
      <c r="D121" s="315" t="s">
        <v>318</v>
      </c>
      <c r="E121" s="315" t="s">
        <v>71</v>
      </c>
      <c r="F121" s="315" t="s">
        <v>319</v>
      </c>
      <c r="G121" s="315" t="s">
        <v>12</v>
      </c>
      <c r="H121" s="317" t="s">
        <v>19202</v>
      </c>
      <c r="I121" s="318" t="s">
        <v>320</v>
      </c>
      <c r="J121" s="318" t="s">
        <v>128</v>
      </c>
      <c r="K121" s="319" t="s">
        <v>19202</v>
      </c>
      <c r="L121" s="319" t="s">
        <v>19202</v>
      </c>
      <c r="M121" s="319" t="s">
        <v>19202</v>
      </c>
      <c r="N121" s="319" t="s">
        <v>19202</v>
      </c>
      <c r="O121" s="319" t="s">
        <v>19202</v>
      </c>
      <c r="P121" s="320" t="s">
        <v>19204</v>
      </c>
      <c r="Q121" s="321" t="s">
        <v>19202</v>
      </c>
      <c r="R121" s="150" t="str">
        <f ca="1">IF(ISERROR($V121),"",OFFSET('Smelter Look-up'!$C$4,$V121-4,0)&amp;"")</f>
        <v>Zhuhai Kelixin Metal Materials Co., Ltd.</v>
      </c>
      <c r="S121" s="156" t="str">
        <f t="shared" ca="1" si="5"/>
        <v>CN</v>
      </c>
      <c r="T121" s="156" t="str">
        <f ca="1">IF(B121="","",IF(ISERROR(MATCH($J121,SorP!$B$1:$B$6226,0)),"",INDIRECT("'SorP'!$A$"&amp;MATCH($S121&amp;$J121,SorP!C:C,0))))</f>
        <v>CN-GD</v>
      </c>
      <c r="U121" s="169"/>
      <c r="V121" s="170">
        <f>IF(C121="",NA(),MATCH($B121&amp;$C121,'Smelter Look-up'!$J:$J,0))</f>
        <v>154</v>
      </c>
      <c r="X121" s="171">
        <f t="shared" si="3"/>
        <v>0</v>
      </c>
      <c r="AB121" s="171" t="str">
        <f t="shared" si="4"/>
        <v>CobaltZhuhai Kelixin Metal Materials Co., Ltd.</v>
      </c>
    </row>
    <row r="122" spans="1:28" s="171" customFormat="1" ht="27">
      <c r="A122" s="324" t="s">
        <v>319</v>
      </c>
      <c r="B122" s="315" t="s">
        <v>43</v>
      </c>
      <c r="C122" s="316" t="s">
        <v>318</v>
      </c>
      <c r="D122" s="315" t="s">
        <v>318</v>
      </c>
      <c r="E122" s="315" t="s">
        <v>71</v>
      </c>
      <c r="F122" s="315" t="s">
        <v>319</v>
      </c>
      <c r="G122" s="315" t="s">
        <v>12</v>
      </c>
      <c r="H122" s="317" t="s">
        <v>320</v>
      </c>
      <c r="I122" s="318" t="s">
        <v>320</v>
      </c>
      <c r="J122" s="318" t="s">
        <v>128</v>
      </c>
      <c r="K122" s="319" t="s">
        <v>19202</v>
      </c>
      <c r="L122" s="319" t="s">
        <v>19202</v>
      </c>
      <c r="M122" s="319" t="s">
        <v>19202</v>
      </c>
      <c r="N122" s="319" t="s">
        <v>19202</v>
      </c>
      <c r="O122" s="319" t="s">
        <v>19202</v>
      </c>
      <c r="P122" s="320" t="s">
        <v>19204</v>
      </c>
      <c r="Q122" s="321" t="s">
        <v>19202</v>
      </c>
      <c r="R122" s="150" t="str">
        <f ca="1">IF(ISERROR($V122),"",OFFSET('Smelter Look-up'!$C$4,$V122-4,0)&amp;"")</f>
        <v>Zhuhai Kelixin Metal Materials Co., Ltd.</v>
      </c>
      <c r="S122" s="156" t="str">
        <f t="shared" ca="1" si="5"/>
        <v>CN</v>
      </c>
      <c r="T122" s="156" t="str">
        <f ca="1">IF(B122="","",IF(ISERROR(MATCH($J122,SorP!$B$1:$B$6226,0)),"",INDIRECT("'SorP'!$A$"&amp;MATCH($S122&amp;$J122,SorP!C:C,0))))</f>
        <v>CN-GD</v>
      </c>
      <c r="U122" s="169"/>
      <c r="V122" s="170">
        <f>IF(C122="",NA(),MATCH($B122&amp;$C122,'Smelter Look-up'!$J:$J,0))</f>
        <v>154</v>
      </c>
      <c r="X122" s="171">
        <f t="shared" si="3"/>
        <v>0</v>
      </c>
      <c r="AB122" s="171" t="str">
        <f t="shared" si="4"/>
        <v>CobaltZhuhai Kelixin Metal Materials Co., Ltd.</v>
      </c>
    </row>
    <row r="123" spans="1:28" s="171" customFormat="1" ht="20">
      <c r="A123" s="324" t="s">
        <v>19202</v>
      </c>
      <c r="B123" s="315" t="s">
        <v>43</v>
      </c>
      <c r="C123" s="316" t="s">
        <v>49</v>
      </c>
      <c r="D123" s="315" t="s">
        <v>19244</v>
      </c>
      <c r="E123" s="315" t="s">
        <v>19245</v>
      </c>
      <c r="F123" s="315" t="s">
        <v>19202</v>
      </c>
      <c r="G123" s="315" t="s">
        <v>19202</v>
      </c>
      <c r="H123" s="317" t="s">
        <v>19202</v>
      </c>
      <c r="I123" s="318" t="s">
        <v>19202</v>
      </c>
      <c r="J123" s="318" t="s">
        <v>19202</v>
      </c>
      <c r="K123" s="319" t="s">
        <v>19202</v>
      </c>
      <c r="L123" s="319" t="s">
        <v>19202</v>
      </c>
      <c r="M123" s="319" t="s">
        <v>19202</v>
      </c>
      <c r="N123" s="319" t="s">
        <v>19202</v>
      </c>
      <c r="O123" s="319" t="s">
        <v>19202</v>
      </c>
      <c r="P123" s="320" t="s">
        <v>19204</v>
      </c>
      <c r="Q123" s="321" t="s">
        <v>19202</v>
      </c>
      <c r="R123" s="150" t="str">
        <f ca="1">IF(ISERROR($V123),"",OFFSET('Smelter Look-up'!$C$4,$V123-4,0)&amp;"")</f>
        <v/>
      </c>
      <c r="S123" s="156" t="str">
        <f t="shared" ca="1" si="5"/>
        <v>Unknown</v>
      </c>
      <c r="T123" s="156" t="str">
        <f ca="1">IF(B123="","",IF(ISERROR(MATCH($J123,SorP!$B$1:$B$6226,0)),"",INDIRECT("'SorP'!$A$"&amp;MATCH($S123&amp;$J123,SorP!C:C,0))))</f>
        <v/>
      </c>
      <c r="U123" s="169"/>
      <c r="V123" s="170" t="e">
        <f>IF(C123="",NA(),MATCH($B123&amp;$C123,'Smelter Look-up'!$J:$J,0))</f>
        <v>#N/A</v>
      </c>
      <c r="X123" s="171">
        <f t="shared" si="3"/>
        <v>0</v>
      </c>
      <c r="AB123" s="171" t="str">
        <f t="shared" si="4"/>
        <v>CobaltSmelter Not Listed</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1"/>
      <c r="L2463" s="151"/>
      <c r="M2463" s="151"/>
      <c r="N2463" s="151"/>
      <c r="O2463" s="151"/>
      <c r="P2463" s="209"/>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1"/>
      <c r="L2464" s="151"/>
      <c r="M2464" s="151"/>
      <c r="N2464" s="151"/>
      <c r="O2464" s="151"/>
      <c r="P2464" s="209"/>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1"/>
      <c r="L2465" s="151"/>
      <c r="M2465" s="151"/>
      <c r="N2465" s="151"/>
      <c r="O2465" s="151"/>
      <c r="P2465" s="209"/>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1"/>
      <c r="L2466" s="151"/>
      <c r="M2466" s="151"/>
      <c r="N2466" s="151"/>
      <c r="O2466" s="151"/>
      <c r="P2466" s="209"/>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1"/>
      <c r="L2467" s="151"/>
      <c r="M2467" s="151"/>
      <c r="N2467" s="151"/>
      <c r="O2467" s="151"/>
      <c r="P2467" s="209"/>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1"/>
      <c r="L2468" s="151"/>
      <c r="M2468" s="151"/>
      <c r="N2468" s="151"/>
      <c r="O2468" s="151"/>
      <c r="P2468" s="209"/>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1"/>
      <c r="L2469" s="151"/>
      <c r="M2469" s="151"/>
      <c r="N2469" s="151"/>
      <c r="O2469" s="151"/>
      <c r="P2469" s="209"/>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1"/>
      <c r="L2470" s="151"/>
      <c r="M2470" s="151"/>
      <c r="N2470" s="151"/>
      <c r="O2470" s="151"/>
      <c r="P2470" s="209"/>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1"/>
      <c r="L2471" s="151"/>
      <c r="M2471" s="151"/>
      <c r="N2471" s="151"/>
      <c r="O2471" s="151"/>
      <c r="P2471" s="209"/>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1"/>
      <c r="L2472" s="151"/>
      <c r="M2472" s="151"/>
      <c r="N2472" s="151"/>
      <c r="O2472" s="151"/>
      <c r="P2472" s="209"/>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1"/>
      <c r="L2473" s="151"/>
      <c r="M2473" s="151"/>
      <c r="N2473" s="151"/>
      <c r="O2473" s="151"/>
      <c r="P2473" s="209"/>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1"/>
      <c r="L2474" s="151"/>
      <c r="M2474" s="151"/>
      <c r="N2474" s="151"/>
      <c r="O2474" s="151"/>
      <c r="P2474" s="209"/>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1"/>
      <c r="L2475" s="151"/>
      <c r="M2475" s="151"/>
      <c r="N2475" s="151"/>
      <c r="O2475" s="151"/>
      <c r="P2475" s="209"/>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1"/>
      <c r="L2476" s="151"/>
      <c r="M2476" s="151"/>
      <c r="N2476" s="151"/>
      <c r="O2476" s="151"/>
      <c r="P2476" s="209"/>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1"/>
      <c r="L2477" s="151"/>
      <c r="M2477" s="151"/>
      <c r="N2477" s="151"/>
      <c r="O2477" s="151"/>
      <c r="P2477" s="209"/>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1"/>
      <c r="L2478" s="151"/>
      <c r="M2478" s="151"/>
      <c r="N2478" s="151"/>
      <c r="O2478" s="151"/>
      <c r="P2478" s="209"/>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1"/>
      <c r="L2479" s="151"/>
      <c r="M2479" s="151"/>
      <c r="N2479" s="151"/>
      <c r="O2479" s="151"/>
      <c r="P2479" s="209"/>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1"/>
      <c r="L2480" s="151"/>
      <c r="M2480" s="151"/>
      <c r="N2480" s="151"/>
      <c r="O2480" s="151"/>
      <c r="P2480" s="209"/>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1"/>
      <c r="L2481" s="151"/>
      <c r="M2481" s="151"/>
      <c r="N2481" s="151"/>
      <c r="O2481" s="151"/>
      <c r="P2481" s="209"/>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1"/>
      <c r="L2482" s="151"/>
      <c r="M2482" s="151"/>
      <c r="N2482" s="151"/>
      <c r="O2482" s="151"/>
      <c r="P2482" s="209"/>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1"/>
      <c r="L2483" s="151"/>
      <c r="M2483" s="151"/>
      <c r="N2483" s="151"/>
      <c r="O2483" s="151"/>
      <c r="P2483" s="209"/>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1"/>
      <c r="L2484" s="151"/>
      <c r="M2484" s="151"/>
      <c r="N2484" s="151"/>
      <c r="O2484" s="151"/>
      <c r="P2484" s="209"/>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1"/>
      <c r="L2485" s="151"/>
      <c r="M2485" s="151"/>
      <c r="N2485" s="151"/>
      <c r="O2485" s="151"/>
      <c r="P2485" s="209"/>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1"/>
      <c r="L2486" s="151"/>
      <c r="M2486" s="151"/>
      <c r="N2486" s="151"/>
      <c r="O2486" s="151"/>
      <c r="P2486" s="209"/>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1"/>
      <c r="L2487" s="151"/>
      <c r="M2487" s="151"/>
      <c r="N2487" s="151"/>
      <c r="O2487" s="151"/>
      <c r="P2487" s="209"/>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1"/>
      <c r="L2488" s="151"/>
      <c r="M2488" s="151"/>
      <c r="N2488" s="151"/>
      <c r="O2488" s="151"/>
      <c r="P2488" s="209"/>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1"/>
      <c r="L2489" s="151"/>
      <c r="M2489" s="151"/>
      <c r="N2489" s="151"/>
      <c r="O2489" s="151"/>
      <c r="P2489" s="209"/>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1"/>
      <c r="L2490" s="151"/>
      <c r="M2490" s="151"/>
      <c r="N2490" s="151"/>
      <c r="O2490" s="151"/>
      <c r="P2490" s="209"/>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1"/>
      <c r="L2491" s="151"/>
      <c r="M2491" s="151"/>
      <c r="N2491" s="151"/>
      <c r="O2491" s="151"/>
      <c r="P2491" s="209"/>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1"/>
      <c r="L2492" s="151"/>
      <c r="M2492" s="151"/>
      <c r="N2492" s="151"/>
      <c r="O2492" s="151"/>
      <c r="P2492" s="209"/>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1"/>
      <c r="L2493" s="151"/>
      <c r="M2493" s="151"/>
      <c r="N2493" s="151"/>
      <c r="O2493" s="151"/>
      <c r="P2493" s="209"/>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1"/>
      <c r="L2494" s="151"/>
      <c r="M2494" s="151"/>
      <c r="N2494" s="151"/>
      <c r="O2494" s="151"/>
      <c r="P2494" s="209"/>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1"/>
      <c r="L2495" s="151"/>
      <c r="M2495" s="151"/>
      <c r="N2495" s="151"/>
      <c r="O2495" s="151"/>
      <c r="P2495" s="209"/>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1"/>
      <c r="L2496" s="151"/>
      <c r="M2496" s="151"/>
      <c r="N2496" s="151"/>
      <c r="O2496" s="151"/>
      <c r="P2496" s="209"/>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1"/>
      <c r="L2497" s="151"/>
      <c r="M2497" s="151"/>
      <c r="N2497" s="151"/>
      <c r="O2497" s="151"/>
      <c r="P2497" s="209"/>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5"/>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7" t="str">
        <f>IF(LEN(A2499)=0,"",INDEX('Smelter Look-up'!$A:$A,MATCH($A2499,'Smelter Look-up'!$E:$E,0)))</f>
        <v/>
      </c>
      <c r="C2499" s="153" t="str">
        <f>IF(LEN(A2499)=0,"",INDEX('Smelter Look-up'!$C:$C,MATCH($A2499,'Smelter Look-up'!$E:$E,0)))</f>
        <v/>
      </c>
      <c r="D2499" s="237"/>
      <c r="E2499" s="237" t="str">
        <f ca="1">IF(ISERROR($V2499),"",OFFSET('Smelter Look-up'!$D$4,$V2499-4,0)&amp;"")</f>
        <v/>
      </c>
      <c r="F2499" s="237" t="str">
        <f ca="1">IF(ISERROR($V2499),"",OFFSET('Smelter Look-up'!$E$4,$V2499-4,0))</f>
        <v/>
      </c>
      <c r="G2499" s="237" t="str">
        <f ca="1">IF(C2499=$X$4,"Enter smelter details",IF(ISERROR($V2499),"",OFFSET('Smelter Look-up'!$F$4,$V2499-4,0)))</f>
        <v/>
      </c>
      <c r="H2499" s="238" t="str">
        <f ca="1">IF(ISERROR($V2499),"",OFFSET('Smelter Look-up'!$G$4,$V2499-4,0))</f>
        <v/>
      </c>
      <c r="I2499" s="239" t="str">
        <f ca="1">IF(ISERROR($V2499),"",OFFSET('Smelter Look-up'!$H$4,$V2499-4,0))</f>
        <v/>
      </c>
      <c r="J2499" s="239" t="str">
        <f ca="1">IF(ISERROR($V2499),"",OFFSET('Smelter Look-up'!$I$4,$V2499-4,0))</f>
        <v/>
      </c>
      <c r="K2499" s="151"/>
      <c r="L2499" s="151"/>
      <c r="M2499" s="151"/>
      <c r="N2499" s="151"/>
      <c r="O2499" s="151"/>
      <c r="P2499" s="240"/>
      <c r="Q2499" s="152"/>
      <c r="R2499" s="236"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1"/>
      <c r="B2500" s="212" t="str">
        <f>IF(LEN(A2500)=0,"",INDEX('Smelter Look-up'!$A:$A,MATCH($A2500,'Smelter Look-up'!$E:$E,0)))</f>
        <v/>
      </c>
      <c r="C2500" s="241" t="str">
        <f>IF(LEN(A2500)=0,"",INDEX('Smelter Look-up'!$C:$C,MATCH($A2500,'Smelter Look-up'!$E:$E,0)))</f>
        <v/>
      </c>
      <c r="D2500" s="212"/>
      <c r="E2500" s="212" t="str">
        <f ca="1">IF(ISERROR($V2500),"",OFFSET('Smelter Look-up'!$D$4,$V2500-4,0)&amp;"")</f>
        <v/>
      </c>
      <c r="F2500" s="212" t="str">
        <f ca="1">IF(ISERROR($V2500),"",OFFSET('Smelter Look-up'!$E$4,$V2500-4,0))</f>
        <v/>
      </c>
      <c r="G2500" s="212" t="str">
        <f ca="1">IF(C2500=$X$4,"Enter smelter details",IF(ISERROR($V2500),"",OFFSET('Smelter Look-up'!$F$4,$V2500-4,0)))</f>
        <v/>
      </c>
      <c r="H2500" s="213" t="str">
        <f ca="1">IF(ISERROR($V2500),"",OFFSET('Smelter Look-up'!$G$4,$V2500-4,0))</f>
        <v/>
      </c>
      <c r="I2500" s="214" t="str">
        <f ca="1">IF(ISERROR($V2500),"",OFFSET('Smelter Look-up'!$H$4,$V2500-4,0))</f>
        <v/>
      </c>
      <c r="J2500" s="214" t="str">
        <f ca="1">IF(ISERROR($V2500),"",OFFSET('Smelter Look-up'!$I$4,$V2500-4,0))</f>
        <v/>
      </c>
      <c r="K2500" s="215"/>
      <c r="L2500" s="215"/>
      <c r="M2500" s="215"/>
      <c r="N2500" s="215"/>
      <c r="O2500" s="215"/>
      <c r="P2500" s="216"/>
      <c r="Q2500" s="242"/>
      <c r="R2500" s="217"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sheet="1" formatCells="0" formatColumns="0" formatRows="0" insertColumns="0" insertRows="0" insertHyperlinks="0" deleteColumns="0" deleteRows="0" sort="0" autoFilter="0" pivotTables="0"/>
  <protectedRanges>
    <protectedRange sqref="A1:A1048576" name="Range1"/>
  </protectedRanges>
  <autoFilter ref="A4:AI4" xr:uid="{00000000-0009-0000-0000-000004000000}"/>
  <dataConsolidate/>
  <customSheetViews>
    <customSheetView guid="{C59130F4-2E03-5E48-94CE-6E4A0484DB9E}" scale="70" showPageBreaks="1" outlineSymbols="0" zeroValues="0" fitToPage="1" hiddenColumns="1" topLeftCell="A2">
      <pane ySplit="3" topLeftCell="A5" activePane="bottomLeft" state="frozen"/>
      <selection pane="bottomLeft" activeCell="A4" sqref="A4:IV23"/>
    </customSheetView>
    <customSheetView guid="{4BDF1A28-30D5-449D-B20E-D6C97EF9FAE1}" scale="70" outlineSymbols="0" zeroValues="0" fitToPage="1" hiddenColumns="1" topLeftCell="A2">
      <pane ySplit="3" topLeftCell="A5" activePane="bottomLeft" state="frozen"/>
      <selection pane="bottomLeft" activeCell="A4" sqref="A4:IV23"/>
    </customSheetView>
  </customSheetViews>
  <mergeCells count="3">
    <mergeCell ref="J2:O2"/>
    <mergeCell ref="B3:E3"/>
    <mergeCell ref="G3:I3"/>
  </mergeCells>
  <phoneticPr fontId="78"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505" right="0.70866141732283505" top="0.74803149606299202" bottom="0.74803149606299202" header="0.31496062992126" footer="0.31496062992126"/>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409" t="str">
        <f ca="1">OFFSET(L!$C$1,MATCH("Checker"&amp;ADDRESS(ROW(),COLUMN(),4),L!$A:$A,0)-1,SL,,)</f>
        <v>To ensure all required fields have been populated before submitting to your customers review form for any line items highlighted in red</v>
      </c>
      <c r="B1" s="409"/>
      <c r="C1" s="409"/>
      <c r="D1" s="109" t="str">
        <f ca="1">OFFSET(L!$C$1,MATCH("Checker"&amp;ADDRESS(ROW(),COLUMN(),4),L!$A:$A,0)-1,SL,,)</f>
        <v>Required fields remaining to be completed</v>
      </c>
      <c r="E1" s="17" t="s">
        <v>18</v>
      </c>
    </row>
    <row r="2" spans="1:10" ht="17">
      <c r="A2" s="59" t="s">
        <v>50</v>
      </c>
      <c r="B2" s="60" t="str">
        <f>IF(F60=1,"Click here to return to Smelter List","")</f>
        <v>Click here to return to Smelter List</v>
      </c>
      <c r="C2" s="112" t="str">
        <f>IF(F59=1,"Click here to return to Product List","")</f>
        <v/>
      </c>
      <c r="D2" s="134">
        <f ca="1">IF(H65=0,"0",H65)</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5">
      <c r="A4" s="136" t="str">
        <f ca="1">Declaration!B8</f>
        <v>Company Name (*):</v>
      </c>
      <c r="B4" s="80" t="str">
        <f>Declaration!D8</f>
        <v>TSC Auto ID Technology Co., Ltd.</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t="str">
        <f>Declaration!D10</f>
        <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Winson Lin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winson_lin@tscprinters.com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+886-3-9906677 Ext.5419</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Melson Lai</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melson_lai@tscprinters.com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+886-3-9906677 Ext.5411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45755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t="str">
        <f>Declaration!D33</f>
        <v>No</v>
      </c>
      <c r="C21" s="137" t="str">
        <f t="shared" ca="1" si="5"/>
        <v>Complete</v>
      </c>
      <c r="D21" s="230"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7" t="str">
        <f t="shared" ca="1" si="3"/>
        <v>Complete</v>
      </c>
      <c r="D24" s="230"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t="str">
        <f>Declaration!D50</f>
        <v>Greater than 75%</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t="str">
        <f>Declaration!D51</f>
        <v>Greater than 75%</v>
      </c>
      <c r="C34" s="137" t="str">
        <f t="shared" ca="1" si="3"/>
        <v>Complete</v>
      </c>
      <c r="D34" s="86" t="str">
        <f>IF(H34=1,"Click here to answer question 5 for Mica","")</f>
        <v/>
      </c>
      <c r="E34" s="17" t="s">
        <v>18</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t="str">
        <f>Declaration!D57</f>
        <v>No</v>
      </c>
      <c r="C39" s="137" t="str">
        <f t="shared" ca="1" si="3"/>
        <v>Complete</v>
      </c>
      <c r="D39" s="88" t="str">
        <f>IF(H39=1,"Click here to answer question 6 for Mica","")</f>
        <v/>
      </c>
      <c r="E39" s="17" t="s">
        <v>13</v>
      </c>
      <c r="F39" s="85">
        <f>F24</f>
        <v>0</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t="str">
        <f>Declaration!D63</f>
        <v>No</v>
      </c>
      <c r="C44" s="137" t="str">
        <f t="shared" ca="1" si="3"/>
        <v>Complete</v>
      </c>
      <c r="D44" s="89" t="str">
        <f>IF(H44=1,"Click here to answer question 7 for Mica","")</f>
        <v/>
      </c>
      <c r="E44" s="17" t="s">
        <v>15</v>
      </c>
      <c r="F44" s="85">
        <f>F24</f>
        <v>0</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5">
      <c r="A50" s="80" t="s">
        <v>57</v>
      </c>
      <c r="B50" s="80" t="str">
        <f>Declaration!G71</f>
        <v>https://apac.tscprinters.com/en/responsible-minerals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7">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7">
      <c r="A53" s="80" t="str">
        <f ca="1">Declaration!B75</f>
        <v>Mica</v>
      </c>
      <c r="B53" s="80" t="str">
        <f>Declaration!D75</f>
        <v>Yes</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List'!AB$5:AB$2500,"Cobalt?*")&gt;0),0,1)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60</v>
      </c>
      <c r="B61" s="80"/>
      <c r="C61" s="137" t="str">
        <f ca="1">IF(H61=1,J61,I61)</f>
        <v>Complete</v>
      </c>
      <c r="D61" s="220"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Please complete columns D &amp; E on Smelter List for all rows "Smelter Not Listed" selected in column C</v>
      </c>
      <c r="D64" s="86"/>
      <c r="E64" s="17"/>
      <c r="F64" s="85">
        <f ca="1">IF(COUNTIF('Smelter List'!$C:$C,"Smelter Not Listed")&gt;0,1,0)</f>
        <v>1</v>
      </c>
      <c r="G64" s="63" cm="1">
        <f t="array" aca="1" ref="G64" ca="1">IF(OR(SUMPRODUCT(('Smelter List'!$C:$C="Smelter not listed")*('Smelter List'!$D:$D=""))&gt;0,SUMPRODUCT(('Smelter List'!$C:$C="Smelter not listed")*('Smelter List'!$E:$E=""))&gt;0),1,0)</f>
        <v>1</v>
      </c>
      <c r="H64" s="64">
        <f ca="1">F64*G64</f>
        <v>1</v>
      </c>
      <c r="I64" s="132" t="str">
        <f ca="1">OFFSET(L!$C$1,MATCH("Checker"&amp;"Comp",L!$A:$A,0)-1,SL,,)</f>
        <v>Complete</v>
      </c>
      <c r="J64" s="16" t="s">
        <v>62</v>
      </c>
      <c r="K64" s="135"/>
      <c r="L64" s="16" t="s">
        <v>63</v>
      </c>
    </row>
    <row r="65" spans="8:8">
      <c r="H65" s="16">
        <f ca="1">SUM(H4:H64)</f>
        <v>1</v>
      </c>
    </row>
    <row r="68" spans="8:8" ht="14" thickBot="1"/>
  </sheetData>
  <sheetProtection sheet="1" formatCells="0" formatColumns="0" formatRows="0" insertColumns="0" insertRows="0" insertHyperlinks="0" deleteColumns="0" deleteRows="0" sort="0" autoFilter="0" pivotTables="0"/>
  <customSheetViews>
    <customSheetView guid="{C59130F4-2E03-5E48-94CE-6E4A0484DB9E}" scale="110" outlineSymbols="0" zeroValues="0" fitToPage="1" hiddenRows="1" hiddenColumns="1">
      <pane xSplit="1" ySplit="3" topLeftCell="B4" activePane="bottomRight" state="frozen"/>
      <selection pane="bottomRight" activeCell="B62" sqref="B62"/>
    </customSheetView>
    <customSheetView guid="{4BDF1A28-30D5-449D-B20E-D6C97EF9FAE1}" scale="110" outlineSymbols="0" zeroValues="0" fitToPage="1" hiddenRows="1" hiddenColumns="1">
      <pane xSplit="1" ySplit="3" topLeftCell="B4" activePane="bottomRight" state="frozen"/>
      <selection pane="bottomRight" activeCell="B62" sqref="B62"/>
    </customSheetView>
  </customSheetViews>
  <mergeCells count="1">
    <mergeCell ref="A1:C1"/>
  </mergeCells>
  <phoneticPr fontId="78"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505" right="0.70866141732283505" top="0.74803149606299202" bottom="0.74803149606299202" header="0.31496062992126" footer="0.31496062992126"/>
  <pageSetup scale="3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11" t="str">
        <f ca="1">OFFSET(L!$C$1,MATCH("Product List"&amp;ADDRESS(ROW(),COLUMN(),4),L!$A:$A,0)-1,SL,,)</f>
        <v>Completion required only if reporting level "Product (or List of Products)" selected on the 'Declaration' worksheet.</v>
      </c>
      <c r="B1" s="412"/>
      <c r="C1" s="412"/>
      <c r="D1" s="412"/>
      <c r="E1" s="108"/>
    </row>
    <row r="2" spans="1:35">
      <c r="A2" s="20"/>
      <c r="B2" s="110"/>
      <c r="C2" s="110"/>
      <c r="D2"/>
      <c r="E2" s="21"/>
    </row>
    <row r="3" spans="1:35">
      <c r="A3" s="20"/>
      <c r="B3" s="110"/>
      <c r="C3" s="110"/>
      <c r="D3" s="110"/>
      <c r="E3" s="21"/>
    </row>
    <row r="4" spans="1:35" ht="15.75" customHeight="1">
      <c r="A4" s="20"/>
      <c r="B4" s="410" t="s">
        <v>50</v>
      </c>
      <c r="C4" s="410"/>
      <c r="D4" s="410"/>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
      <c r="A7" s="120"/>
      <c r="B7" s="111"/>
      <c r="C7" s="90"/>
      <c r="D7" s="90"/>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
      <c r="A8" s="120"/>
      <c r="B8" s="111"/>
      <c r="C8" s="90"/>
      <c r="D8" s="90"/>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
      <c r="A9" s="120"/>
      <c r="B9" s="111"/>
      <c r="C9" s="90"/>
      <c r="D9" s="90"/>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
      <c r="A10" s="120"/>
      <c r="B10" s="111"/>
      <c r="C10" s="90"/>
      <c r="D10" s="90"/>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
      <c r="A11" s="120"/>
      <c r="B11" s="111"/>
      <c r="C11" s="90"/>
      <c r="D11" s="90"/>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
      <c r="A12" s="120"/>
      <c r="B12" s="111"/>
      <c r="C12" s="90"/>
      <c r="D12" s="90"/>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
      <c r="A13" s="120"/>
      <c r="B13" s="111"/>
      <c r="C13" s="90"/>
      <c r="D13" s="90"/>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
      <c r="A14" s="120"/>
      <c r="B14" s="111"/>
      <c r="C14" s="90"/>
      <c r="D14" s="90"/>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
      <c r="A15" s="120"/>
      <c r="B15" s="111"/>
      <c r="C15" s="90"/>
      <c r="D15" s="90"/>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
      <c r="A16" s="120"/>
      <c r="B16" s="111"/>
      <c r="C16" s="90"/>
      <c r="D16" s="90"/>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
      <c r="A17" s="120"/>
      <c r="B17" s="111"/>
      <c r="C17" s="90"/>
      <c r="D17" s="90"/>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
      <c r="A18" s="120"/>
      <c r="B18" s="111"/>
      <c r="C18" s="90"/>
      <c r="D18" s="90"/>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
      <c r="A19" s="120"/>
      <c r="B19" s="111"/>
      <c r="C19" s="90"/>
      <c r="D19" s="90"/>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
      <c r="A20" s="120"/>
      <c r="B20" s="111"/>
      <c r="C20" s="90"/>
      <c r="D20" s="90"/>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
      <c r="A21" s="120"/>
      <c r="B21" s="111"/>
      <c r="C21" s="90"/>
      <c r="D21" s="90"/>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
      <c r="A22" s="120"/>
      <c r="B22" s="111"/>
      <c r="C22" s="90"/>
      <c r="D22" s="90"/>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
      <c r="A23" s="120"/>
      <c r="B23" s="111"/>
      <c r="C23" s="90"/>
      <c r="D23" s="90"/>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
      <c r="A24" s="120"/>
      <c r="B24" s="111"/>
      <c r="C24" s="90"/>
      <c r="D24" s="90"/>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
      <c r="A25" s="120"/>
      <c r="B25" s="111"/>
      <c r="C25" s="90"/>
      <c r="D25" s="90"/>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
      <c r="A26" s="120"/>
      <c r="B26" s="111"/>
      <c r="C26" s="90"/>
      <c r="D26" s="90"/>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
      <c r="A27" s="120"/>
      <c r="B27" s="111"/>
      <c r="C27" s="90"/>
      <c r="D27" s="90"/>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
      <c r="A28" s="120"/>
      <c r="B28" s="111"/>
      <c r="C28" s="90"/>
      <c r="D28" s="90"/>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
      <c r="A29" s="120"/>
      <c r="B29" s="111"/>
      <c r="C29" s="90"/>
      <c r="D29" s="90"/>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
      <c r="A30" s="120"/>
      <c r="B30" s="111"/>
      <c r="C30" s="90"/>
      <c r="D30" s="90"/>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
      <c r="A31" s="120"/>
      <c r="B31" s="111"/>
      <c r="C31" s="90"/>
      <c r="D31" s="90"/>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
      <c r="A32" s="120"/>
      <c r="B32" s="111"/>
      <c r="C32" s="90"/>
      <c r="D32" s="90"/>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
      <c r="A33" s="120"/>
      <c r="B33" s="111"/>
      <c r="C33" s="90"/>
      <c r="D33" s="90"/>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
      <c r="A34" s="120"/>
      <c r="B34" s="111"/>
      <c r="C34" s="90"/>
      <c r="D34" s="90"/>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
      <c r="A35" s="120"/>
      <c r="B35" s="111"/>
      <c r="C35" s="90"/>
      <c r="D35" s="90"/>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
      <c r="A36" s="120"/>
      <c r="B36" s="111"/>
      <c r="C36" s="90"/>
      <c r="D36" s="90"/>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
      <c r="A37" s="120"/>
      <c r="B37" s="111"/>
      <c r="C37" s="90"/>
      <c r="D37" s="90"/>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
      <c r="A38" s="120"/>
      <c r="B38" s="111"/>
      <c r="C38" s="90"/>
      <c r="D38" s="90"/>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
      <c r="A39" s="120"/>
      <c r="B39" s="111"/>
      <c r="C39" s="90"/>
      <c r="D39" s="90"/>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
      <c r="A40" s="120"/>
      <c r="B40" s="111"/>
      <c r="C40" s="90"/>
      <c r="D40" s="90"/>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
      <c r="A41" s="120"/>
      <c r="B41" s="111"/>
      <c r="C41" s="90"/>
      <c r="D41" s="90"/>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
      <c r="A42" s="120"/>
      <c r="B42" s="111"/>
      <c r="C42" s="90"/>
      <c r="D42" s="90"/>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
      <c r="A43" s="120"/>
      <c r="B43" s="111"/>
      <c r="C43" s="90"/>
      <c r="D43" s="90"/>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
      <c r="A44" s="120"/>
      <c r="B44" s="111"/>
      <c r="C44" s="90"/>
      <c r="D44" s="90"/>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
      <c r="A45" s="120"/>
      <c r="B45" s="111"/>
      <c r="C45" s="90"/>
      <c r="D45" s="90"/>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
      <c r="A46" s="120"/>
      <c r="B46" s="111"/>
      <c r="C46" s="90"/>
      <c r="D46" s="90"/>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
      <c r="A47" s="120"/>
      <c r="B47" s="111"/>
      <c r="C47" s="90"/>
      <c r="D47" s="90"/>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
      <c r="A48" s="120"/>
      <c r="B48" s="111"/>
      <c r="C48" s="90"/>
      <c r="D48" s="90"/>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
      <c r="A49" s="120"/>
      <c r="B49" s="111"/>
      <c r="C49" s="90"/>
      <c r="D49" s="90"/>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
      <c r="A50" s="120"/>
      <c r="B50" s="111"/>
      <c r="C50" s="90"/>
      <c r="D50" s="90"/>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
      <c r="A51" s="120"/>
      <c r="B51" s="111"/>
      <c r="C51" s="90"/>
      <c r="D51" s="90"/>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
      <c r="A52" s="120"/>
      <c r="B52" s="111"/>
      <c r="C52" s="90"/>
      <c r="D52" s="90"/>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
      <c r="A53" s="120"/>
      <c r="B53" s="111"/>
      <c r="C53" s="90"/>
      <c r="D53" s="90"/>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
      <c r="A54" s="120"/>
      <c r="B54" s="111"/>
      <c r="C54" s="90"/>
      <c r="D54" s="90"/>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
      <c r="A55" s="120"/>
      <c r="B55" s="111"/>
      <c r="C55" s="90"/>
      <c r="D55" s="90"/>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
      <c r="A56" s="120"/>
      <c r="B56" s="111"/>
      <c r="C56" s="90"/>
      <c r="D56" s="90"/>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
      <c r="A57" s="120"/>
      <c r="B57" s="111"/>
      <c r="C57" s="90"/>
      <c r="D57" s="90"/>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
      <c r="A58" s="120"/>
      <c r="B58" s="111"/>
      <c r="C58" s="90"/>
      <c r="D58" s="90"/>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
      <c r="A59" s="120"/>
      <c r="B59" s="111"/>
      <c r="C59" s="90"/>
      <c r="D59" s="90"/>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
      <c r="A60" s="120"/>
      <c r="B60" s="111"/>
      <c r="C60" s="90"/>
      <c r="D60" s="90"/>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
      <c r="A61" s="120"/>
      <c r="B61" s="111"/>
      <c r="C61" s="90"/>
      <c r="D61" s="90"/>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
      <c r="A62" s="120"/>
      <c r="B62" s="111"/>
      <c r="C62" s="90"/>
      <c r="D62" s="90"/>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
      <c r="A63" s="120"/>
      <c r="B63" s="111"/>
      <c r="C63" s="90"/>
      <c r="D63" s="90"/>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
      <c r="A64" s="120"/>
      <c r="B64" s="111"/>
      <c r="C64" s="90"/>
      <c r="D64" s="90"/>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
      <c r="A65" s="120"/>
      <c r="B65" s="111"/>
      <c r="C65" s="90"/>
      <c r="D65" s="90"/>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
      <c r="A66" s="120"/>
      <c r="B66" s="111"/>
      <c r="C66" s="90"/>
      <c r="D66" s="90"/>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
      <c r="A67" s="120"/>
      <c r="B67" s="111"/>
      <c r="C67" s="90"/>
      <c r="D67" s="90"/>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
      <c r="A68" s="120"/>
      <c r="B68" s="111"/>
      <c r="C68" s="90"/>
      <c r="D68" s="90"/>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
      <c r="A69" s="120"/>
      <c r="B69" s="111"/>
      <c r="C69" s="90"/>
      <c r="D69" s="90"/>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
      <c r="A70" s="120"/>
      <c r="B70" s="111"/>
      <c r="C70" s="90"/>
      <c r="D70" s="90"/>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
      <c r="A71" s="120"/>
      <c r="B71" s="111"/>
      <c r="C71" s="90"/>
      <c r="D71" s="90"/>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
      <c r="A72" s="120"/>
      <c r="B72" s="111"/>
      <c r="C72" s="90"/>
      <c r="D72" s="90"/>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
      <c r="A73" s="120"/>
      <c r="B73" s="111"/>
      <c r="C73" s="90"/>
      <c r="D73" s="90"/>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
      <c r="A74" s="120"/>
      <c r="B74" s="111"/>
      <c r="C74" s="90"/>
      <c r="D74" s="90"/>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
      <c r="A75" s="120"/>
      <c r="B75" s="111"/>
      <c r="C75" s="90"/>
      <c r="D75" s="90"/>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
      <c r="A76" s="120"/>
      <c r="B76" s="111"/>
      <c r="C76" s="90"/>
      <c r="D76" s="90"/>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
      <c r="A77" s="120"/>
      <c r="B77" s="111"/>
      <c r="C77" s="90"/>
      <c r="D77" s="90"/>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
      <c r="A78" s="120"/>
      <c r="B78" s="111"/>
      <c r="C78" s="90"/>
      <c r="D78" s="90"/>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
      <c r="A79" s="120"/>
      <c r="B79" s="111"/>
      <c r="C79" s="90"/>
      <c r="D79" s="90"/>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
      <c r="A80" s="120"/>
      <c r="B80" s="111"/>
      <c r="C80" s="90"/>
      <c r="D80" s="90"/>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
      <c r="A81" s="120"/>
      <c r="B81" s="111"/>
      <c r="C81" s="90"/>
      <c r="D81" s="90"/>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
      <c r="A82" s="120"/>
      <c r="B82" s="111"/>
      <c r="C82" s="90"/>
      <c r="D82" s="90"/>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
      <c r="A83" s="120"/>
      <c r="B83" s="111"/>
      <c r="C83" s="90"/>
      <c r="D83" s="90"/>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
      <c r="A84" s="120"/>
      <c r="B84" s="111"/>
      <c r="C84" s="90"/>
      <c r="D84" s="90"/>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
      <c r="A85" s="120"/>
      <c r="B85" s="111"/>
      <c r="C85" s="90"/>
      <c r="D85" s="90"/>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
      <c r="A86" s="120"/>
      <c r="B86" s="111"/>
      <c r="C86" s="90"/>
      <c r="D86" s="90"/>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
      <c r="A87" s="120"/>
      <c r="B87" s="111"/>
      <c r="C87" s="90"/>
      <c r="D87" s="90"/>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
      <c r="A88" s="120"/>
      <c r="B88" s="111"/>
      <c r="C88" s="90"/>
      <c r="D88" s="90"/>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
      <c r="A89" s="120"/>
      <c r="B89" s="111"/>
      <c r="C89" s="90"/>
      <c r="D89" s="90"/>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
      <c r="A90" s="120"/>
      <c r="B90" s="111"/>
      <c r="C90" s="90"/>
      <c r="D90" s="90"/>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
      <c r="A91" s="120"/>
      <c r="B91" s="111"/>
      <c r="C91" s="90"/>
      <c r="D91" s="90"/>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
      <c r="A92" s="120"/>
      <c r="B92" s="111"/>
      <c r="C92" s="90"/>
      <c r="D92" s="90"/>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
      <c r="A93" s="120"/>
      <c r="B93" s="111"/>
      <c r="C93" s="90"/>
      <c r="D93" s="90"/>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
      <c r="A94" s="120"/>
      <c r="B94" s="111"/>
      <c r="C94" s="90"/>
      <c r="D94" s="90"/>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
      <c r="A95" s="120"/>
      <c r="B95" s="111"/>
      <c r="C95" s="90"/>
      <c r="D95" s="90"/>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
      <c r="A96" s="120"/>
      <c r="B96" s="111"/>
      <c r="C96" s="90"/>
      <c r="D96" s="90"/>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
      <c r="A97" s="120"/>
      <c r="B97" s="111"/>
      <c r="C97" s="90"/>
      <c r="D97" s="90"/>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
      <c r="A98" s="120"/>
      <c r="B98" s="111"/>
      <c r="C98" s="90"/>
      <c r="D98" s="90"/>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
      <c r="A99" s="120"/>
      <c r="B99" s="111"/>
      <c r="C99" s="90"/>
      <c r="D99" s="90"/>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
      <c r="A100" s="120"/>
      <c r="B100" s="111"/>
      <c r="C100" s="90"/>
      <c r="D100" s="90"/>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
      <c r="A101" s="120"/>
      <c r="B101" s="111"/>
      <c r="C101" s="90"/>
      <c r="D101" s="90"/>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
      <c r="A102" s="120"/>
      <c r="B102" s="111"/>
      <c r="C102" s="90"/>
      <c r="D102" s="90"/>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
      <c r="A103" s="120"/>
      <c r="B103" s="111"/>
      <c r="C103" s="90"/>
      <c r="D103" s="90"/>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
      <c r="A104" s="120"/>
      <c r="B104" s="111"/>
      <c r="C104" s="90"/>
      <c r="D104" s="90"/>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
      <c r="A105" s="120"/>
      <c r="B105" s="111"/>
      <c r="C105" s="90"/>
      <c r="D105" s="90"/>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
      <c r="A106" s="120"/>
      <c r="B106" s="111"/>
      <c r="C106" s="90"/>
      <c r="D106" s="90"/>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
      <c r="A107" s="120"/>
      <c r="B107" s="111"/>
      <c r="C107" s="90"/>
      <c r="D107" s="90"/>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
      <c r="A108" s="120"/>
      <c r="B108" s="111"/>
      <c r="C108" s="90"/>
      <c r="D108" s="90"/>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
      <c r="A109" s="120"/>
      <c r="B109" s="111"/>
      <c r="C109" s="90"/>
      <c r="D109" s="90"/>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
      <c r="A110" s="120"/>
      <c r="B110" s="111"/>
      <c r="C110" s="90"/>
      <c r="D110" s="90"/>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
      <c r="A111" s="120"/>
      <c r="B111" s="111"/>
      <c r="C111" s="90"/>
      <c r="D111" s="90"/>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
      <c r="A112" s="120"/>
      <c r="B112" s="111"/>
      <c r="C112" s="90"/>
      <c r="D112" s="90"/>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
      <c r="A113" s="120"/>
      <c r="B113" s="111"/>
      <c r="C113" s="90"/>
      <c r="D113" s="90"/>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
      <c r="A114" s="120"/>
      <c r="B114" s="111"/>
      <c r="C114" s="90"/>
      <c r="D114" s="90"/>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
      <c r="A115" s="120"/>
      <c r="B115" s="111"/>
      <c r="C115" s="90"/>
      <c r="D115" s="90"/>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
      <c r="A116" s="120"/>
      <c r="B116" s="111"/>
      <c r="C116" s="90"/>
      <c r="D116" s="90"/>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
      <c r="A117" s="120"/>
      <c r="B117" s="111"/>
      <c r="C117" s="90"/>
      <c r="D117" s="90"/>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
      <c r="A118" s="120"/>
      <c r="B118" s="111"/>
      <c r="C118" s="90"/>
      <c r="D118" s="90"/>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
      <c r="A119" s="120"/>
      <c r="B119" s="111"/>
      <c r="C119" s="90"/>
      <c r="D119" s="90"/>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
      <c r="A120" s="120"/>
      <c r="B120" s="111"/>
      <c r="C120" s="90"/>
      <c r="D120" s="90"/>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
      <c r="A121" s="120"/>
      <c r="B121" s="111"/>
      <c r="C121" s="90"/>
      <c r="D121" s="90"/>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
      <c r="A122" s="120"/>
      <c r="B122" s="111"/>
      <c r="C122" s="90"/>
      <c r="D122" s="90"/>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
      <c r="A123" s="120"/>
      <c r="B123" s="111"/>
      <c r="C123" s="90"/>
      <c r="D123" s="90"/>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
      <c r="A124" s="120"/>
      <c r="B124" s="111"/>
      <c r="C124" s="90"/>
      <c r="D124" s="90"/>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
      <c r="A125" s="120"/>
      <c r="B125" s="111"/>
      <c r="C125" s="90"/>
      <c r="D125" s="90"/>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
      <c r="A126" s="120"/>
      <c r="B126" s="111"/>
      <c r="C126" s="90"/>
      <c r="D126" s="90"/>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
      <c r="A127" s="120"/>
      <c r="B127" s="111"/>
      <c r="C127" s="90"/>
      <c r="D127" s="90"/>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
      <c r="A128" s="120"/>
      <c r="B128" s="111"/>
      <c r="C128" s="90"/>
      <c r="D128" s="90"/>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
      <c r="A129" s="120"/>
      <c r="B129" s="111"/>
      <c r="C129" s="90"/>
      <c r="D129" s="90"/>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
      <c r="A130" s="120"/>
      <c r="B130" s="111"/>
      <c r="C130" s="90"/>
      <c r="D130" s="90"/>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
      <c r="A131" s="120"/>
      <c r="B131" s="111"/>
      <c r="C131" s="90"/>
      <c r="D131" s="90"/>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
      <c r="A132" s="120"/>
      <c r="B132" s="111"/>
      <c r="C132" s="90"/>
      <c r="D132" s="90"/>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
      <c r="A133" s="120"/>
      <c r="B133" s="111"/>
      <c r="C133" s="90"/>
      <c r="D133" s="90"/>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
      <c r="A134" s="120"/>
      <c r="B134" s="111"/>
      <c r="C134" s="90"/>
      <c r="D134" s="90"/>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
      <c r="A135" s="120"/>
      <c r="B135" s="111"/>
      <c r="C135" s="90"/>
      <c r="D135" s="90"/>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
      <c r="A136" s="120"/>
      <c r="B136" s="111"/>
      <c r="C136" s="90"/>
      <c r="D136" s="90"/>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
      <c r="A137" s="120"/>
      <c r="B137" s="111"/>
      <c r="C137" s="90"/>
      <c r="D137" s="90"/>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
      <c r="A138" s="120"/>
      <c r="B138" s="111"/>
      <c r="C138" s="90"/>
      <c r="D138" s="90"/>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
      <c r="A139" s="120"/>
      <c r="B139" s="111"/>
      <c r="C139" s="90"/>
      <c r="D139" s="90"/>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
      <c r="A140" s="120"/>
      <c r="B140" s="111"/>
      <c r="C140" s="90"/>
      <c r="D140" s="90"/>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
      <c r="A141" s="120"/>
      <c r="B141" s="111"/>
      <c r="C141" s="90"/>
      <c r="D141" s="90"/>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
      <c r="A142" s="120"/>
      <c r="B142" s="111"/>
      <c r="C142" s="90"/>
      <c r="D142" s="90"/>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
      <c r="A143" s="120"/>
      <c r="B143" s="111"/>
      <c r="C143" s="90"/>
      <c r="D143" s="90"/>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
      <c r="A144" s="120"/>
      <c r="B144" s="111"/>
      <c r="C144" s="90"/>
      <c r="D144" s="90"/>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
      <c r="A145" s="120"/>
      <c r="B145" s="111"/>
      <c r="C145" s="90"/>
      <c r="D145" s="90"/>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
      <c r="A146" s="120"/>
      <c r="B146" s="111"/>
      <c r="C146" s="90"/>
      <c r="D146" s="90"/>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
      <c r="A147" s="120"/>
      <c r="B147" s="111"/>
      <c r="C147" s="90"/>
      <c r="D147" s="90"/>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
      <c r="A148" s="120"/>
      <c r="B148" s="111"/>
      <c r="C148" s="90"/>
      <c r="D148" s="90"/>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
      <c r="A149" s="120"/>
      <c r="B149" s="111"/>
      <c r="C149" s="90"/>
      <c r="D149" s="90"/>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
      <c r="A150" s="120"/>
      <c r="B150" s="111"/>
      <c r="C150" s="90"/>
      <c r="D150" s="90"/>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
      <c r="A151" s="120"/>
      <c r="B151" s="111"/>
      <c r="C151" s="90"/>
      <c r="D151" s="90"/>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
      <c r="A152" s="120"/>
      <c r="B152" s="111"/>
      <c r="C152" s="90"/>
      <c r="D152" s="90"/>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
      <c r="A153" s="120"/>
      <c r="B153" s="111"/>
      <c r="C153" s="90"/>
      <c r="D153" s="90"/>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
      <c r="A154" s="120"/>
      <c r="B154" s="111"/>
      <c r="C154" s="90"/>
      <c r="D154" s="90"/>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
      <c r="A155" s="120"/>
      <c r="B155" s="111"/>
      <c r="C155" s="90"/>
      <c r="D155" s="90"/>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13" t="str">
        <f ca="1">OFFSET(L!$C$1,MATCH("General"&amp;"Cpy",L!$A:$A,0)-1,SL,,)</f>
        <v>© 2024 Responsible Minerals Initiative. All rights reserved.</v>
      </c>
      <c r="C1001" s="413"/>
      <c r="D1001" s="413"/>
      <c r="E1001" s="22"/>
    </row>
    <row r="1002" spans="1:35" ht="14" thickTop="1">
      <c r="D1002" s="93"/>
    </row>
  </sheetData>
  <sheetProtection sheet="1" formatCells="0" formatColumns="0" formatRows="0" insertColumns="0" insertRows="0" insertHyperlinks="0" deleteColumns="0" deleteRows="0" sort="0" autoFilter="0" pivotTables="0"/>
  <customSheetViews>
    <customSheetView guid="{C59130F4-2E03-5E48-94CE-6E4A0484DB9E}" scale="70" showPageBreaks="1" outlineSymbols="0" zeroValues="0" fitToPage="1">
      <pane xSplit="2" ySplit="5" topLeftCell="C6" activePane="bottomRight" state="frozen"/>
      <selection pane="bottomRight" sqref="A1:D1"/>
    </customSheetView>
    <customSheetView guid="{4BDF1A28-30D5-449D-B20E-D6C97EF9FAE1}" scale="70" outlineSymbols="0" zeroValues="0" fitToPage="1">
      <pane xSplit="2" ySplit="5" topLeftCell="C6" activePane="bottomRight" state="frozen"/>
      <selection pane="bottomRight" sqref="A1:D1"/>
    </customSheetView>
  </customSheetViews>
  <mergeCells count="3">
    <mergeCell ref="B4:D4"/>
    <mergeCell ref="A1:D1"/>
    <mergeCell ref="B1001:D1001"/>
  </mergeCells>
  <phoneticPr fontId="78"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1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4"/>
      <c r="C1" s="414"/>
      <c r="D1" s="414"/>
      <c r="E1" s="414"/>
      <c r="F1" s="414"/>
      <c r="G1" s="414"/>
    </row>
    <row r="2" spans="1:13">
      <c r="A2" s="415"/>
      <c r="B2" s="415"/>
      <c r="C2" s="415"/>
      <c r="D2" s="415"/>
      <c r="E2" s="415"/>
      <c r="F2" s="415"/>
      <c r="G2" s="415"/>
      <c r="H2" s="415"/>
      <c r="I2" s="415"/>
    </row>
    <row r="3" spans="1:13">
      <c r="A3" s="415"/>
      <c r="B3" s="415"/>
      <c r="C3" s="415"/>
      <c r="D3" s="415"/>
      <c r="E3" s="415"/>
      <c r="F3" s="415"/>
      <c r="G3" s="415"/>
      <c r="H3" s="415"/>
      <c r="I3" s="415"/>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sheet="1" formatCells="0" formatColumns="0" formatRows="0" insertColumns="0" insertRows="0" insertHyperlinks="0" deleteColumns="0" deleteRows="0" sort="0" autoFilter="0" pivotTables="0"/>
  <autoFilter ref="A4:I4" xr:uid="{00000000-0009-0000-0000-000007000000}"/>
  <sortState ref="A4:M4">
    <sortCondition ref="B4"/>
  </sortState>
  <customSheetViews>
    <customSheetView guid="{C59130F4-2E03-5E48-94CE-6E4A0484DB9E}" scale="85" outlineSymbols="0" zeroValues="0" hiddenColumns="1">
      <pane ySplit="4" topLeftCell="A5" activePane="bottomLeft" state="frozen"/>
      <selection pane="bottomLeft" activeCell="A5" sqref="A5"/>
    </customSheetView>
    <customSheetView guid="{4BDF1A28-30D5-449D-B20E-D6C97EF9FAE1}" scale="85" outlineSymbols="0" zeroValues="0" hiddenColumns="1">
      <pane ySplit="4" topLeftCell="A5" activePane="bottomLeft" state="frozen"/>
      <selection pane="bottomLeft" sqref="A1:G1"/>
    </customSheetView>
  </customSheetViews>
  <mergeCells count="2">
    <mergeCell ref="A1:G1"/>
    <mergeCell ref="A2:I3"/>
  </mergeCells>
  <phoneticPr fontId="78" type="noConversion"/>
  <pageMargins left="0.75" right="0.75" top="1" bottom="1" header="0.3" footer="0.3"/>
  <pageSetup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3" customWidth="1"/>
    <col min="6" max="6" width="61.61328125" style="244" customWidth="1"/>
    <col min="7" max="7" width="61.61328125" style="127" customWidth="1"/>
    <col min="8" max="8" width="65.61328125" style="144" customWidth="1"/>
    <col min="9" max="9" width="51.53515625" style="189" customWidth="1"/>
    <col min="10" max="16384" width="8.69140625" style="189"/>
  </cols>
  <sheetData>
    <row r="1" spans="1:9">
      <c r="B1" s="127" t="s">
        <v>374</v>
      </c>
      <c r="C1" s="127" t="s">
        <v>375</v>
      </c>
      <c r="D1" s="127" t="s">
        <v>17</v>
      </c>
      <c r="E1" s="243" t="s">
        <v>376</v>
      </c>
      <c r="F1" s="244" t="s">
        <v>377</v>
      </c>
      <c r="G1" s="127" t="s">
        <v>378</v>
      </c>
      <c r="H1" s="295" t="s">
        <v>379</v>
      </c>
      <c r="I1" s="189" t="s">
        <v>18961</v>
      </c>
    </row>
    <row r="2" spans="1:9" ht="27.5">
      <c r="A2" s="127" t="str">
        <f>B2&amp;C2</f>
        <v>InstructionsA1</v>
      </c>
      <c r="B2" s="127" t="s">
        <v>380</v>
      </c>
      <c r="C2" s="127" t="s">
        <v>381</v>
      </c>
      <c r="D2" s="127" t="s">
        <v>382</v>
      </c>
      <c r="E2" s="243" t="s">
        <v>383</v>
      </c>
      <c r="F2" s="244" t="s">
        <v>384</v>
      </c>
      <c r="G2" s="127" t="s">
        <v>382</v>
      </c>
      <c r="H2" s="295" t="s">
        <v>382</v>
      </c>
      <c r="I2" s="295" t="s">
        <v>382</v>
      </c>
    </row>
    <row r="3" spans="1:9">
      <c r="A3" s="127" t="str">
        <f t="shared" ref="A3:A69" si="0">B3&amp;C3</f>
        <v>InstructionsA2</v>
      </c>
      <c r="B3" s="127" t="s">
        <v>380</v>
      </c>
      <c r="C3" s="127" t="s">
        <v>385</v>
      </c>
      <c r="D3" s="127" t="s">
        <v>386</v>
      </c>
      <c r="E3" s="243" t="s">
        <v>387</v>
      </c>
      <c r="F3" s="244" t="s">
        <v>388</v>
      </c>
      <c r="G3" s="127" t="s">
        <v>389</v>
      </c>
      <c r="H3" s="295" t="s">
        <v>386</v>
      </c>
      <c r="I3" s="189" t="s">
        <v>18962</v>
      </c>
    </row>
    <row r="4" spans="1:9" ht="293.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40.5">
      <c r="A9" s="127" t="str">
        <f t="shared" si="0"/>
        <v>InstructionsA9</v>
      </c>
      <c r="B9" s="127" t="s">
        <v>380</v>
      </c>
      <c r="C9" s="127" t="s">
        <v>419</v>
      </c>
      <c r="D9" s="127" t="s">
        <v>420</v>
      </c>
      <c r="E9" s="243" t="s">
        <v>421</v>
      </c>
      <c r="F9" s="244" t="s">
        <v>422</v>
      </c>
      <c r="G9" s="127" t="s">
        <v>423</v>
      </c>
      <c r="H9" s="295" t="s">
        <v>424</v>
      </c>
      <c r="I9" s="127" t="s">
        <v>18967</v>
      </c>
    </row>
    <row r="10" spans="1:9" ht="28">
      <c r="A10" s="127" t="str">
        <f>B10&amp;C10</f>
        <v>InstructionsA10</v>
      </c>
      <c r="B10" s="127" t="s">
        <v>380</v>
      </c>
      <c r="C10" s="127" t="s">
        <v>425</v>
      </c>
      <c r="D10" s="127" t="s">
        <v>426</v>
      </c>
      <c r="E10" s="243" t="s">
        <v>427</v>
      </c>
      <c r="F10" s="244" t="s">
        <v>428</v>
      </c>
      <c r="G10" s="127" t="s">
        <v>429</v>
      </c>
      <c r="H10" s="295" t="s">
        <v>430</v>
      </c>
      <c r="I10" s="127" t="s">
        <v>18968</v>
      </c>
    </row>
    <row r="11" spans="1:9" ht="29">
      <c r="A11" s="127" t="str">
        <f t="shared" si="0"/>
        <v>InstructionsA11</v>
      </c>
      <c r="B11" s="127" t="s">
        <v>380</v>
      </c>
      <c r="C11" s="127" t="s">
        <v>431</v>
      </c>
      <c r="D11" s="127" t="s">
        <v>432</v>
      </c>
      <c r="E11" s="221" t="s">
        <v>433</v>
      </c>
      <c r="F11" s="246" t="s">
        <v>434</v>
      </c>
      <c r="G11" s="127" t="s">
        <v>435</v>
      </c>
      <c r="H11" s="295" t="s">
        <v>436</v>
      </c>
      <c r="I11" s="127" t="s">
        <v>18969</v>
      </c>
    </row>
    <row r="12" spans="1:9" ht="40.5">
      <c r="A12" s="127" t="str">
        <f t="shared" si="0"/>
        <v>InstructionsA12</v>
      </c>
      <c r="B12" s="127" t="s">
        <v>380</v>
      </c>
      <c r="C12" s="127" t="s">
        <v>437</v>
      </c>
      <c r="D12" s="127" t="s">
        <v>438</v>
      </c>
      <c r="E12" s="243" t="s">
        <v>439</v>
      </c>
      <c r="F12" s="244" t="s">
        <v>440</v>
      </c>
      <c r="G12" s="127" t="s">
        <v>441</v>
      </c>
      <c r="H12" s="295" t="s">
        <v>442</v>
      </c>
      <c r="I12" s="127" t="s">
        <v>18970</v>
      </c>
    </row>
    <row r="13" spans="1:9" ht="67.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81">
      <c r="A15" s="127" t="str">
        <f t="shared" si="0"/>
        <v>InstructionsA15</v>
      </c>
      <c r="B15" s="127" t="s">
        <v>380</v>
      </c>
      <c r="C15" s="127" t="s">
        <v>455</v>
      </c>
      <c r="D15" s="127" t="s">
        <v>456</v>
      </c>
      <c r="E15" s="243" t="s">
        <v>457</v>
      </c>
      <c r="F15" s="244" t="s">
        <v>458</v>
      </c>
      <c r="G15" s="127" t="s">
        <v>459</v>
      </c>
      <c r="H15" s="295" t="s">
        <v>460</v>
      </c>
      <c r="I15" s="127" t="s">
        <v>18973</v>
      </c>
    </row>
    <row r="16" spans="1:9" ht="27">
      <c r="A16" s="127" t="str">
        <f t="shared" si="0"/>
        <v>InstructionsA16</v>
      </c>
      <c r="B16" s="127" t="s">
        <v>380</v>
      </c>
      <c r="C16" s="127" t="s">
        <v>461</v>
      </c>
      <c r="D16" s="127" t="s">
        <v>462</v>
      </c>
      <c r="E16" s="221" t="s">
        <v>463</v>
      </c>
      <c r="F16" s="246" t="s">
        <v>464</v>
      </c>
      <c r="G16" s="127" t="s">
        <v>465</v>
      </c>
      <c r="H16" s="295" t="s">
        <v>466</v>
      </c>
      <c r="I16" s="127" t="s">
        <v>18974</v>
      </c>
    </row>
    <row r="17" spans="1:9" ht="67.5">
      <c r="A17" s="127" t="str">
        <f t="shared" si="0"/>
        <v>InstructionsA17</v>
      </c>
      <c r="B17" s="127" t="s">
        <v>380</v>
      </c>
      <c r="C17" s="127" t="s">
        <v>467</v>
      </c>
      <c r="D17" s="127" t="s">
        <v>468</v>
      </c>
      <c r="E17" s="243" t="s">
        <v>469</v>
      </c>
      <c r="F17" s="244" t="s">
        <v>470</v>
      </c>
      <c r="G17" s="127" t="s">
        <v>471</v>
      </c>
      <c r="H17" s="295" t="s">
        <v>472</v>
      </c>
      <c r="I17" s="127" t="s">
        <v>18975</v>
      </c>
    </row>
    <row r="18" spans="1:9" ht="27">
      <c r="A18" s="127" t="str">
        <f>B18&amp;C18</f>
        <v>InstructionsA18</v>
      </c>
      <c r="B18" s="127" t="s">
        <v>380</v>
      </c>
      <c r="C18" s="127" t="s">
        <v>473</v>
      </c>
      <c r="D18" s="127" t="s">
        <v>474</v>
      </c>
      <c r="E18" s="127" t="s">
        <v>475</v>
      </c>
      <c r="F18" s="246" t="s">
        <v>476</v>
      </c>
      <c r="G18" s="127" t="s">
        <v>477</v>
      </c>
      <c r="H18" s="295" t="s">
        <v>478</v>
      </c>
      <c r="I18" s="127" t="s">
        <v>18976</v>
      </c>
    </row>
    <row r="19" spans="1:9" ht="40.5">
      <c r="A19" s="127" t="str">
        <f t="shared" si="0"/>
        <v>InstructionsA19</v>
      </c>
      <c r="B19" s="127" t="s">
        <v>380</v>
      </c>
      <c r="C19" s="127" t="s">
        <v>479</v>
      </c>
      <c r="D19" s="127" t="s">
        <v>480</v>
      </c>
      <c r="E19" s="243" t="s">
        <v>481</v>
      </c>
      <c r="F19" s="244" t="s">
        <v>482</v>
      </c>
      <c r="G19" s="127" t="s">
        <v>483</v>
      </c>
      <c r="H19" s="298" t="s">
        <v>484</v>
      </c>
      <c r="I19" s="127" t="s">
        <v>18977</v>
      </c>
    </row>
    <row r="20" spans="1:9" ht="40.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08">
      <c r="A22" s="127" t="str">
        <f t="shared" si="0"/>
        <v>InstructionsA23</v>
      </c>
      <c r="B22" s="127" t="s">
        <v>380</v>
      </c>
      <c r="C22" s="127" t="s">
        <v>497</v>
      </c>
      <c r="D22" s="127" t="s">
        <v>498</v>
      </c>
      <c r="E22" s="243" t="s">
        <v>499</v>
      </c>
      <c r="F22" s="244" t="s">
        <v>500</v>
      </c>
      <c r="G22" s="245" t="s">
        <v>501</v>
      </c>
      <c r="H22" s="298" t="s">
        <v>502</v>
      </c>
      <c r="I22" s="127" t="s">
        <v>18980</v>
      </c>
    </row>
    <row r="23" spans="1:9" ht="30">
      <c r="A23" s="127" t="str">
        <f>B23&amp;C23</f>
        <v>InstructionsA24</v>
      </c>
      <c r="B23" s="127" t="s">
        <v>380</v>
      </c>
      <c r="C23" s="127" t="s">
        <v>503</v>
      </c>
      <c r="D23" s="127" t="s">
        <v>504</v>
      </c>
      <c r="E23" s="243" t="s">
        <v>505</v>
      </c>
      <c r="F23" s="244" t="s">
        <v>506</v>
      </c>
      <c r="G23" s="127" t="s">
        <v>507</v>
      </c>
      <c r="H23" s="298" t="s">
        <v>508</v>
      </c>
      <c r="I23" s="127" t="s">
        <v>18981</v>
      </c>
    </row>
    <row r="24" spans="1:9" ht="94.5">
      <c r="A24" s="127" t="str">
        <f t="shared" si="0"/>
        <v>InstructionsA25</v>
      </c>
      <c r="B24" s="127" t="s">
        <v>380</v>
      </c>
      <c r="C24" s="127" t="s">
        <v>509</v>
      </c>
      <c r="D24" s="127" t="s">
        <v>510</v>
      </c>
      <c r="E24" s="243" t="s">
        <v>511</v>
      </c>
      <c r="F24" s="289" t="s">
        <v>512</v>
      </c>
      <c r="G24" s="127" t="s">
        <v>513</v>
      </c>
      <c r="H24" s="295" t="s">
        <v>514</v>
      </c>
      <c r="I24" s="127" t="s">
        <v>18982</v>
      </c>
    </row>
    <row r="25" spans="1:9" ht="256.5">
      <c r="A25" s="127" t="str">
        <f t="shared" si="0"/>
        <v>InstructionsA26</v>
      </c>
      <c r="B25" s="127" t="s">
        <v>380</v>
      </c>
      <c r="C25" s="127" t="s">
        <v>515</v>
      </c>
      <c r="D25" s="127" t="s">
        <v>516</v>
      </c>
      <c r="E25" s="247" t="s">
        <v>517</v>
      </c>
      <c r="F25" s="289" t="s">
        <v>518</v>
      </c>
      <c r="G25" s="127" t="s">
        <v>519</v>
      </c>
      <c r="H25" s="295" t="s">
        <v>520</v>
      </c>
      <c r="I25" s="127" t="s">
        <v>18983</v>
      </c>
    </row>
    <row r="26" spans="1:9" ht="40.5">
      <c r="A26" s="127" t="str">
        <f t="shared" si="0"/>
        <v>InstructionsA27</v>
      </c>
      <c r="B26" s="127" t="s">
        <v>380</v>
      </c>
      <c r="C26" s="127" t="s">
        <v>521</v>
      </c>
      <c r="D26" s="127" t="s">
        <v>522</v>
      </c>
      <c r="E26" s="243" t="s">
        <v>523</v>
      </c>
      <c r="F26" s="244" t="s">
        <v>524</v>
      </c>
      <c r="G26" s="127" t="s">
        <v>525</v>
      </c>
      <c r="H26" s="295" t="s">
        <v>526</v>
      </c>
      <c r="I26" s="127" t="s">
        <v>18984</v>
      </c>
    </row>
    <row r="27" spans="1:9" ht="391.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29.5">
      <c r="A29" s="127" t="str">
        <f t="shared" si="1"/>
        <v>InstructionsA30</v>
      </c>
      <c r="B29" s="127" t="s">
        <v>380</v>
      </c>
      <c r="C29" s="127" t="s">
        <v>539</v>
      </c>
      <c r="D29" s="127" t="s">
        <v>540</v>
      </c>
      <c r="E29" s="247" t="s">
        <v>541</v>
      </c>
      <c r="F29" s="244" t="s">
        <v>542</v>
      </c>
      <c r="G29" s="127" t="s">
        <v>543</v>
      </c>
      <c r="H29" s="295" t="s">
        <v>544</v>
      </c>
      <c r="I29" s="127" t="s">
        <v>18987</v>
      </c>
    </row>
    <row r="30" spans="1:9" ht="202.5">
      <c r="A30" s="127" t="str">
        <f t="shared" si="1"/>
        <v>InstructionsA31</v>
      </c>
      <c r="B30" s="127" t="s">
        <v>380</v>
      </c>
      <c r="C30" s="127" t="s">
        <v>545</v>
      </c>
      <c r="D30" s="127" t="s">
        <v>546</v>
      </c>
      <c r="E30" s="243" t="s">
        <v>547</v>
      </c>
      <c r="F30" s="248" t="s">
        <v>548</v>
      </c>
      <c r="G30" s="127" t="s">
        <v>549</v>
      </c>
      <c r="H30" s="295" t="s">
        <v>550</v>
      </c>
      <c r="I30" s="127" t="s">
        <v>19198</v>
      </c>
    </row>
    <row r="31" spans="1:9" ht="108">
      <c r="A31" s="127" t="str">
        <f t="shared" si="1"/>
        <v>InstructionsA32</v>
      </c>
      <c r="B31" s="127" t="s">
        <v>380</v>
      </c>
      <c r="C31" s="127" t="s">
        <v>551</v>
      </c>
      <c r="D31" s="127" t="s">
        <v>552</v>
      </c>
      <c r="E31" s="247" t="s">
        <v>553</v>
      </c>
      <c r="F31" s="248" t="s">
        <v>554</v>
      </c>
      <c r="G31" s="127" t="s">
        <v>555</v>
      </c>
      <c r="H31" s="295" t="s">
        <v>556</v>
      </c>
      <c r="I31" s="127" t="s">
        <v>18988</v>
      </c>
    </row>
    <row r="32" spans="1:9" ht="108">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270">
      <c r="A34" s="127" t="str">
        <f t="shared" si="0"/>
        <v>InstructionsA36</v>
      </c>
      <c r="B34" s="127" t="s">
        <v>380</v>
      </c>
      <c r="C34" s="127" t="s">
        <v>569</v>
      </c>
      <c r="D34" s="127" t="s">
        <v>570</v>
      </c>
      <c r="E34" s="243" t="s">
        <v>571</v>
      </c>
      <c r="F34" s="244" t="s">
        <v>572</v>
      </c>
      <c r="G34" s="252" t="s">
        <v>573</v>
      </c>
      <c r="H34" s="295" t="s">
        <v>574</v>
      </c>
      <c r="I34" s="127" t="s">
        <v>18991</v>
      </c>
    </row>
    <row r="35" spans="1:9" ht="54">
      <c r="A35" s="127" t="str">
        <f t="shared" si="0"/>
        <v>InstructionsA37</v>
      </c>
      <c r="B35" s="127" t="s">
        <v>380</v>
      </c>
      <c r="C35" s="127" t="s">
        <v>575</v>
      </c>
      <c r="D35" s="127" t="s">
        <v>576</v>
      </c>
      <c r="E35" s="247" t="s">
        <v>577</v>
      </c>
      <c r="F35" s="289" t="s">
        <v>578</v>
      </c>
      <c r="G35" s="127" t="s">
        <v>579</v>
      </c>
      <c r="H35" s="295" t="s">
        <v>580</v>
      </c>
      <c r="I35" s="127" t="s">
        <v>18992</v>
      </c>
    </row>
    <row r="36" spans="1:9" ht="81">
      <c r="A36" s="127" t="str">
        <f t="shared" si="0"/>
        <v>InstructionsA38</v>
      </c>
      <c r="B36" s="127" t="s">
        <v>380</v>
      </c>
      <c r="C36" s="127" t="s">
        <v>581</v>
      </c>
      <c r="D36" s="127" t="s">
        <v>582</v>
      </c>
      <c r="E36" s="247" t="s">
        <v>583</v>
      </c>
      <c r="F36" s="289" t="s">
        <v>584</v>
      </c>
      <c r="G36" s="127" t="s">
        <v>585</v>
      </c>
      <c r="H36" s="295" t="s">
        <v>586</v>
      </c>
      <c r="I36" s="127" t="s">
        <v>18993</v>
      </c>
    </row>
    <row r="37" spans="1:9" ht="148.5">
      <c r="A37" s="127" t="str">
        <f t="shared" si="0"/>
        <v>InstructionsA39</v>
      </c>
      <c r="B37" s="127" t="s">
        <v>380</v>
      </c>
      <c r="C37" s="127" t="s">
        <v>587</v>
      </c>
      <c r="D37" s="127" t="s">
        <v>588</v>
      </c>
      <c r="E37" s="247" t="s">
        <v>589</v>
      </c>
      <c r="F37" s="290" t="s">
        <v>590</v>
      </c>
      <c r="G37" s="127" t="s">
        <v>591</v>
      </c>
      <c r="H37" s="295" t="s">
        <v>592</v>
      </c>
      <c r="I37" s="127" t="s">
        <v>18994</v>
      </c>
    </row>
    <row r="38" spans="1:9" ht="175.5">
      <c r="A38" s="127" t="str">
        <f t="shared" si="0"/>
        <v>InstructionsA40</v>
      </c>
      <c r="B38" s="127" t="s">
        <v>380</v>
      </c>
      <c r="C38" s="127" t="s">
        <v>593</v>
      </c>
      <c r="D38" s="249" t="s">
        <v>594</v>
      </c>
      <c r="E38" s="250" t="s">
        <v>595</v>
      </c>
      <c r="F38" s="291" t="s">
        <v>596</v>
      </c>
      <c r="G38" s="249" t="s">
        <v>597</v>
      </c>
      <c r="H38" s="295" t="s">
        <v>598</v>
      </c>
      <c r="I38" s="127" t="s">
        <v>18995</v>
      </c>
    </row>
    <row r="39" spans="1:9" ht="216">
      <c r="A39" s="127" t="str">
        <f>B39&amp;C39</f>
        <v>InstructionsA41</v>
      </c>
      <c r="B39" s="127" t="s">
        <v>380</v>
      </c>
      <c r="C39" s="127" t="s">
        <v>599</v>
      </c>
      <c r="D39" s="249" t="s">
        <v>600</v>
      </c>
      <c r="E39" s="250" t="s">
        <v>601</v>
      </c>
      <c r="F39" s="291" t="s">
        <v>602</v>
      </c>
      <c r="G39" s="253" t="s">
        <v>603</v>
      </c>
      <c r="H39" s="299" t="s">
        <v>604</v>
      </c>
      <c r="I39" s="127" t="s">
        <v>18996</v>
      </c>
    </row>
    <row r="40" spans="1:9" ht="216">
      <c r="A40" s="127" t="str">
        <f>B40&amp;C40</f>
        <v>InstructionsA42</v>
      </c>
      <c r="B40" s="127" t="s">
        <v>380</v>
      </c>
      <c r="C40" s="127" t="s">
        <v>605</v>
      </c>
      <c r="D40" s="127" t="s">
        <v>606</v>
      </c>
      <c r="E40" s="243" t="s">
        <v>607</v>
      </c>
      <c r="F40" s="289" t="s">
        <v>608</v>
      </c>
      <c r="G40" s="127" t="s">
        <v>609</v>
      </c>
      <c r="H40" s="295" t="s">
        <v>610</v>
      </c>
      <c r="I40" s="127" t="s">
        <v>18997</v>
      </c>
    </row>
    <row r="41" spans="1:9" ht="81">
      <c r="A41" s="127" t="str">
        <f t="shared" si="0"/>
        <v>InstructionsA43</v>
      </c>
      <c r="B41" s="127" t="s">
        <v>380</v>
      </c>
      <c r="C41" s="127" t="s">
        <v>611</v>
      </c>
      <c r="D41" s="127" t="s">
        <v>612</v>
      </c>
      <c r="E41" s="243" t="s">
        <v>613</v>
      </c>
      <c r="F41" s="289" t="s">
        <v>614</v>
      </c>
      <c r="G41" s="127" t="s">
        <v>615</v>
      </c>
      <c r="H41" s="295" t="s">
        <v>616</v>
      </c>
      <c r="I41" s="127" t="s">
        <v>18998</v>
      </c>
    </row>
    <row r="42" spans="1:9" ht="67.5">
      <c r="A42" s="127" t="str">
        <f t="shared" si="0"/>
        <v>InstructionsA45</v>
      </c>
      <c r="B42" s="127" t="s">
        <v>380</v>
      </c>
      <c r="C42" s="127" t="s">
        <v>617</v>
      </c>
      <c r="D42" s="127" t="s">
        <v>618</v>
      </c>
      <c r="E42" s="243" t="s">
        <v>619</v>
      </c>
      <c r="F42" s="244" t="s">
        <v>620</v>
      </c>
      <c r="G42" s="127" t="s">
        <v>621</v>
      </c>
      <c r="H42" s="295" t="s">
        <v>622</v>
      </c>
      <c r="I42" s="127" t="s">
        <v>18999</v>
      </c>
    </row>
    <row r="43" spans="1:9" ht="94.5">
      <c r="A43" s="127" t="str">
        <f t="shared" si="0"/>
        <v>InstructionsA46</v>
      </c>
      <c r="B43" s="127" t="s">
        <v>380</v>
      </c>
      <c r="C43" s="127" t="s">
        <v>623</v>
      </c>
      <c r="D43" s="127" t="s">
        <v>624</v>
      </c>
      <c r="E43" s="247" t="s">
        <v>625</v>
      </c>
      <c r="F43" s="289" t="s">
        <v>626</v>
      </c>
      <c r="G43" s="252" t="s">
        <v>627</v>
      </c>
      <c r="H43" s="295" t="s">
        <v>628</v>
      </c>
      <c r="I43" s="127" t="s">
        <v>19000</v>
      </c>
    </row>
    <row r="44" spans="1:9" ht="67.5">
      <c r="A44" s="127" t="str">
        <f t="shared" si="0"/>
        <v>InstructionsA48</v>
      </c>
      <c r="B44" s="235" t="s">
        <v>380</v>
      </c>
      <c r="C44" s="127" t="s">
        <v>629</v>
      </c>
      <c r="D44" s="235" t="s">
        <v>630</v>
      </c>
      <c r="E44" s="243" t="s">
        <v>631</v>
      </c>
      <c r="F44" s="244" t="s">
        <v>632</v>
      </c>
      <c r="G44" s="254" t="s">
        <v>633</v>
      </c>
      <c r="H44" s="295" t="s">
        <v>634</v>
      </c>
      <c r="I44" s="127" t="s">
        <v>19001</v>
      </c>
    </row>
    <row r="45" spans="1:9" ht="54">
      <c r="A45" s="127" t="str">
        <f>B45&amp;C45</f>
        <v>InstructionsA49</v>
      </c>
      <c r="B45" s="127" t="s">
        <v>380</v>
      </c>
      <c r="C45" s="127" t="s">
        <v>635</v>
      </c>
      <c r="D45" s="127" t="s">
        <v>636</v>
      </c>
      <c r="E45" s="243" t="s">
        <v>637</v>
      </c>
      <c r="F45" s="244" t="s">
        <v>638</v>
      </c>
      <c r="G45" s="127" t="s">
        <v>639</v>
      </c>
      <c r="H45" s="298" t="s">
        <v>640</v>
      </c>
      <c r="I45" s="127" t="s">
        <v>19002</v>
      </c>
    </row>
    <row r="46" spans="1:9" ht="135">
      <c r="A46" s="127" t="str">
        <f t="shared" si="0"/>
        <v>InstructionsA50</v>
      </c>
      <c r="B46" s="127" t="s">
        <v>380</v>
      </c>
      <c r="C46" s="127" t="s">
        <v>641</v>
      </c>
      <c r="D46" s="127" t="s">
        <v>642</v>
      </c>
      <c r="E46" s="292" t="s">
        <v>643</v>
      </c>
      <c r="F46" s="289" t="s">
        <v>644</v>
      </c>
      <c r="G46" s="127" t="s">
        <v>645</v>
      </c>
      <c r="H46" s="295" t="s">
        <v>646</v>
      </c>
      <c r="I46" s="127" t="s">
        <v>19003</v>
      </c>
    </row>
    <row r="47" spans="1:9" ht="67.5">
      <c r="A47" s="127" t="str">
        <f t="shared" si="0"/>
        <v>InstructionsA51</v>
      </c>
      <c r="B47" s="127" t="s">
        <v>380</v>
      </c>
      <c r="C47" s="127" t="s">
        <v>647</v>
      </c>
      <c r="D47" s="127" t="s">
        <v>648</v>
      </c>
      <c r="E47" s="243" t="s">
        <v>649</v>
      </c>
      <c r="F47" s="244" t="s">
        <v>650</v>
      </c>
      <c r="G47" s="127" t="s">
        <v>651</v>
      </c>
      <c r="H47" s="295" t="s">
        <v>652</v>
      </c>
      <c r="I47" s="127" t="s">
        <v>19004</v>
      </c>
    </row>
    <row r="48" spans="1:9" ht="81">
      <c r="A48" s="127" t="str">
        <f t="shared" si="0"/>
        <v>InstructionsA52</v>
      </c>
      <c r="B48" s="127" t="s">
        <v>380</v>
      </c>
      <c r="C48" s="127" t="s">
        <v>653</v>
      </c>
      <c r="D48" s="127" t="s">
        <v>654</v>
      </c>
      <c r="E48" s="243" t="s">
        <v>655</v>
      </c>
      <c r="F48" s="244" t="s">
        <v>656</v>
      </c>
      <c r="G48" s="255" t="s">
        <v>657</v>
      </c>
      <c r="H48" s="295" t="s">
        <v>658</v>
      </c>
      <c r="I48" s="127" t="s">
        <v>19005</v>
      </c>
    </row>
    <row r="49" spans="1:9" ht="108">
      <c r="A49" s="127" t="str">
        <f>B49&amp;C49</f>
        <v>InstructionsA53</v>
      </c>
      <c r="B49" s="127" t="s">
        <v>380</v>
      </c>
      <c r="C49" s="127" t="s">
        <v>659</v>
      </c>
      <c r="D49" s="127" t="s">
        <v>660</v>
      </c>
      <c r="E49" s="243" t="s">
        <v>661</v>
      </c>
      <c r="F49" s="244" t="s">
        <v>662</v>
      </c>
      <c r="G49" s="255" t="s">
        <v>663</v>
      </c>
      <c r="H49" s="298" t="s">
        <v>664</v>
      </c>
      <c r="I49" s="127" t="s">
        <v>19006</v>
      </c>
    </row>
    <row r="50" spans="1:9" ht="67.5">
      <c r="A50" s="127" t="str">
        <f>B50&amp;C50</f>
        <v>InstructionsA54</v>
      </c>
      <c r="B50" s="127" t="s">
        <v>380</v>
      </c>
      <c r="C50" s="127" t="s">
        <v>665</v>
      </c>
      <c r="D50" s="127" t="s">
        <v>666</v>
      </c>
      <c r="E50" s="243" t="s">
        <v>667</v>
      </c>
      <c r="F50" s="244" t="s">
        <v>668</v>
      </c>
      <c r="G50" s="255" t="s">
        <v>669</v>
      </c>
      <c r="H50" s="295" t="s">
        <v>670</v>
      </c>
      <c r="I50" s="127" t="s">
        <v>19007</v>
      </c>
    </row>
    <row r="51" spans="1:9" ht="40.5">
      <c r="A51" s="127" t="str">
        <f t="shared" si="0"/>
        <v>InstructionsA55</v>
      </c>
      <c r="B51" s="127" t="s">
        <v>380</v>
      </c>
      <c r="C51" s="127" t="s">
        <v>671</v>
      </c>
      <c r="D51" s="127" t="s">
        <v>672</v>
      </c>
      <c r="E51" s="243" t="s">
        <v>673</v>
      </c>
      <c r="F51" s="244" t="s">
        <v>674</v>
      </c>
      <c r="G51" s="255" t="s">
        <v>675</v>
      </c>
      <c r="H51" s="295" t="s">
        <v>676</v>
      </c>
      <c r="I51" s="127" t="s">
        <v>19008</v>
      </c>
    </row>
    <row r="52" spans="1:9" ht="40.5">
      <c r="A52" s="127" t="str">
        <f t="shared" si="0"/>
        <v>InstructionsA56</v>
      </c>
      <c r="B52" s="127" t="s">
        <v>380</v>
      </c>
      <c r="C52" s="127" t="s">
        <v>677</v>
      </c>
      <c r="D52" s="127" t="s">
        <v>678</v>
      </c>
      <c r="E52" s="243" t="s">
        <v>679</v>
      </c>
      <c r="F52" s="244" t="s">
        <v>680</v>
      </c>
      <c r="G52" s="127" t="s">
        <v>681</v>
      </c>
      <c r="H52" s="295" t="s">
        <v>682</v>
      </c>
      <c r="I52" s="127" t="s">
        <v>19009</v>
      </c>
    </row>
    <row r="53" spans="1:9" ht="54">
      <c r="A53" s="127" t="str">
        <f t="shared" si="0"/>
        <v>InstructionsA57</v>
      </c>
      <c r="B53" s="127" t="s">
        <v>380</v>
      </c>
      <c r="C53" s="127" t="s">
        <v>683</v>
      </c>
      <c r="D53" s="127" t="s">
        <v>684</v>
      </c>
      <c r="E53" s="243" t="s">
        <v>685</v>
      </c>
      <c r="F53" s="244" t="s">
        <v>686</v>
      </c>
      <c r="G53" s="256" t="s">
        <v>687</v>
      </c>
      <c r="H53" s="295" t="s">
        <v>688</v>
      </c>
      <c r="I53" s="127" t="s">
        <v>19010</v>
      </c>
    </row>
    <row r="54" spans="1:9" ht="297">
      <c r="A54" s="127" t="str">
        <f t="shared" si="0"/>
        <v>InstructionsA58</v>
      </c>
      <c r="B54" s="127" t="s">
        <v>380</v>
      </c>
      <c r="C54" s="127" t="s">
        <v>689</v>
      </c>
      <c r="D54" s="127" t="s">
        <v>690</v>
      </c>
      <c r="E54" s="243" t="s">
        <v>691</v>
      </c>
      <c r="F54" s="244" t="s">
        <v>692</v>
      </c>
      <c r="G54" s="255" t="s">
        <v>693</v>
      </c>
      <c r="H54" s="295" t="s">
        <v>694</v>
      </c>
      <c r="I54" s="127" t="s">
        <v>19017</v>
      </c>
    </row>
    <row r="55" spans="1:9" ht="81">
      <c r="A55" s="127" t="str">
        <f t="shared" si="0"/>
        <v>InstructionsA59</v>
      </c>
      <c r="B55" s="127" t="s">
        <v>380</v>
      </c>
      <c r="C55" s="127" t="s">
        <v>695</v>
      </c>
      <c r="D55" s="127" t="s">
        <v>696</v>
      </c>
      <c r="E55" s="243" t="s">
        <v>697</v>
      </c>
      <c r="F55" s="244" t="s">
        <v>698</v>
      </c>
      <c r="G55" s="127" t="s">
        <v>699</v>
      </c>
      <c r="H55" s="295" t="s">
        <v>700</v>
      </c>
      <c r="I55" s="127" t="s">
        <v>19011</v>
      </c>
    </row>
    <row r="56" spans="1:9" ht="162">
      <c r="A56" s="127" t="str">
        <f t="shared" si="0"/>
        <v>InstructionsA60</v>
      </c>
      <c r="B56" s="127" t="s">
        <v>380</v>
      </c>
      <c r="C56" s="127" t="s">
        <v>701</v>
      </c>
      <c r="D56" s="127" t="s">
        <v>702</v>
      </c>
      <c r="E56" s="243" t="s">
        <v>703</v>
      </c>
      <c r="F56" s="244" t="s">
        <v>704</v>
      </c>
      <c r="G56" s="255" t="s">
        <v>705</v>
      </c>
      <c r="H56" s="295" t="s">
        <v>706</v>
      </c>
      <c r="I56" s="127" t="s">
        <v>19012</v>
      </c>
    </row>
    <row r="57" spans="1:9" ht="175.5">
      <c r="A57" s="127" t="str">
        <f t="shared" si="0"/>
        <v>InstructionsA61</v>
      </c>
      <c r="B57" s="127" t="s">
        <v>380</v>
      </c>
      <c r="C57" s="127" t="s">
        <v>707</v>
      </c>
      <c r="D57" s="127" t="s">
        <v>708</v>
      </c>
      <c r="E57" s="243" t="s">
        <v>709</v>
      </c>
      <c r="F57" s="244" t="s">
        <v>710</v>
      </c>
      <c r="G57" s="255" t="s">
        <v>711</v>
      </c>
      <c r="H57" s="295" t="s">
        <v>712</v>
      </c>
      <c r="I57" s="127" t="s">
        <v>19013</v>
      </c>
    </row>
    <row r="58" spans="1:9" ht="108">
      <c r="A58" s="127" t="str">
        <f>B58&amp;C58</f>
        <v>InstructionsA62</v>
      </c>
      <c r="B58" s="127" t="s">
        <v>380</v>
      </c>
      <c r="C58" s="127" t="s">
        <v>713</v>
      </c>
      <c r="D58" s="127" t="s">
        <v>714</v>
      </c>
      <c r="E58" s="292" t="s">
        <v>715</v>
      </c>
      <c r="F58" s="289" t="s">
        <v>716</v>
      </c>
      <c r="G58" s="255" t="s">
        <v>717</v>
      </c>
      <c r="H58" s="300" t="s">
        <v>718</v>
      </c>
      <c r="I58" s="127" t="s">
        <v>19014</v>
      </c>
    </row>
    <row r="59" spans="1:9" ht="42">
      <c r="A59" s="127" t="str">
        <f t="shared" si="0"/>
        <v>InstructionsA63</v>
      </c>
      <c r="B59" s="127" t="s">
        <v>380</v>
      </c>
      <c r="C59" s="127" t="s">
        <v>719</v>
      </c>
      <c r="D59" s="127" t="s">
        <v>720</v>
      </c>
      <c r="E59" s="243" t="s">
        <v>721</v>
      </c>
      <c r="F59" s="244" t="s">
        <v>722</v>
      </c>
      <c r="G59" s="127" t="s">
        <v>723</v>
      </c>
      <c r="H59" s="295" t="s">
        <v>724</v>
      </c>
      <c r="I59" s="127" t="s">
        <v>19015</v>
      </c>
    </row>
    <row r="60" spans="1:9" ht="175.5">
      <c r="A60" s="127" t="str">
        <f>B60&amp;C60</f>
        <v>InstructionsA65</v>
      </c>
      <c r="B60" s="127" t="s">
        <v>380</v>
      </c>
      <c r="C60" s="127" t="s">
        <v>725</v>
      </c>
      <c r="D60" s="127" t="s">
        <v>726</v>
      </c>
      <c r="E60" s="243" t="s">
        <v>727</v>
      </c>
      <c r="F60" s="244" t="s">
        <v>728</v>
      </c>
      <c r="G60" s="127" t="s">
        <v>729</v>
      </c>
      <c r="H60" s="298" t="s">
        <v>730</v>
      </c>
      <c r="I60" s="127" t="s">
        <v>19016</v>
      </c>
    </row>
    <row r="61" spans="1:9" ht="28">
      <c r="A61" s="127" t="str">
        <f t="shared" si="0"/>
        <v>InstructionsA67</v>
      </c>
      <c r="B61" s="127" t="s">
        <v>380</v>
      </c>
      <c r="C61" s="127" t="s">
        <v>731</v>
      </c>
      <c r="D61" s="127" t="s">
        <v>732</v>
      </c>
      <c r="E61" s="243" t="s">
        <v>733</v>
      </c>
      <c r="F61" s="244" t="s">
        <v>734</v>
      </c>
      <c r="G61" s="127" t="s">
        <v>735</v>
      </c>
      <c r="H61" s="298" t="s">
        <v>736</v>
      </c>
      <c r="I61" s="127" t="s">
        <v>19018</v>
      </c>
    </row>
    <row r="62" spans="1:9" ht="270">
      <c r="A62" s="127" t="str">
        <f t="shared" si="0"/>
        <v>InstructionsA68</v>
      </c>
      <c r="B62" s="127" t="s">
        <v>380</v>
      </c>
      <c r="C62" s="127" t="s">
        <v>737</v>
      </c>
      <c r="D62" s="127" t="s">
        <v>738</v>
      </c>
      <c r="E62" s="243" t="s">
        <v>739</v>
      </c>
      <c r="F62" s="244" t="s">
        <v>740</v>
      </c>
      <c r="G62" s="255" t="s">
        <v>741</v>
      </c>
      <c r="H62" s="295" t="s">
        <v>742</v>
      </c>
      <c r="I62" s="127" t="s">
        <v>19024</v>
      </c>
    </row>
    <row r="63" spans="1:9" ht="148.5">
      <c r="A63" s="127" t="str">
        <f t="shared" si="0"/>
        <v>InstructionsA69</v>
      </c>
      <c r="B63" s="127" t="s">
        <v>380</v>
      </c>
      <c r="C63" s="127" t="s">
        <v>743</v>
      </c>
      <c r="D63" s="127" t="s">
        <v>744</v>
      </c>
      <c r="E63" s="243" t="s">
        <v>745</v>
      </c>
      <c r="F63" s="244" t="s">
        <v>746</v>
      </c>
      <c r="G63" s="255" t="s">
        <v>747</v>
      </c>
      <c r="H63" s="295" t="s">
        <v>748</v>
      </c>
      <c r="I63" s="127" t="s">
        <v>19019</v>
      </c>
    </row>
    <row r="64" spans="1:9" ht="135">
      <c r="A64" s="127" t="str">
        <f t="shared" si="0"/>
        <v>InstructionsA70</v>
      </c>
      <c r="B64" s="127" t="s">
        <v>380</v>
      </c>
      <c r="C64" s="127" t="s">
        <v>749</v>
      </c>
      <c r="D64" s="127" t="s">
        <v>750</v>
      </c>
      <c r="E64" s="243" t="s">
        <v>751</v>
      </c>
      <c r="F64" s="244" t="s">
        <v>752</v>
      </c>
      <c r="G64" s="255" t="s">
        <v>753</v>
      </c>
      <c r="H64" s="295" t="s">
        <v>754</v>
      </c>
      <c r="I64" s="127" t="s">
        <v>19020</v>
      </c>
    </row>
    <row r="65" spans="1:9" ht="283.5">
      <c r="A65" s="127" t="str">
        <f t="shared" si="0"/>
        <v>InstructionsA71</v>
      </c>
      <c r="B65" s="127" t="s">
        <v>380</v>
      </c>
      <c r="C65" s="127" t="s">
        <v>755</v>
      </c>
      <c r="D65" s="127" t="s">
        <v>756</v>
      </c>
      <c r="E65" s="243" t="s">
        <v>757</v>
      </c>
      <c r="F65" s="244" t="s">
        <v>758</v>
      </c>
      <c r="G65" s="255" t="s">
        <v>759</v>
      </c>
      <c r="H65" s="295" t="s">
        <v>760</v>
      </c>
      <c r="I65" s="127" t="s">
        <v>19021</v>
      </c>
    </row>
    <row r="66" spans="1:9" ht="94.5">
      <c r="A66" s="127" t="str">
        <f t="shared" si="0"/>
        <v>InstructionsA72</v>
      </c>
      <c r="B66" s="127" t="s">
        <v>380</v>
      </c>
      <c r="C66" s="127" t="s">
        <v>761</v>
      </c>
      <c r="D66" s="127" t="s">
        <v>762</v>
      </c>
      <c r="E66" s="243" t="s">
        <v>763</v>
      </c>
      <c r="F66" s="244" t="s">
        <v>764</v>
      </c>
      <c r="G66" s="255" t="s">
        <v>765</v>
      </c>
      <c r="H66" s="295" t="s">
        <v>766</v>
      </c>
      <c r="I66" s="127" t="s">
        <v>19022</v>
      </c>
    </row>
    <row r="67" spans="1:9" ht="40.5">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ht="13.5">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ht="13.5">
      <c r="A77" s="127" t="str">
        <f t="shared" si="4"/>
        <v>DefinitionsB11</v>
      </c>
      <c r="B77" s="127" t="s">
        <v>773</v>
      </c>
      <c r="C77" s="127" t="s">
        <v>826</v>
      </c>
      <c r="D77" s="249" t="s">
        <v>827</v>
      </c>
      <c r="E77" s="249" t="s">
        <v>828</v>
      </c>
      <c r="F77" s="258" t="s">
        <v>829</v>
      </c>
      <c r="G77" s="259" t="s">
        <v>830</v>
      </c>
      <c r="H77" s="295" t="s">
        <v>831</v>
      </c>
      <c r="I77" s="189" t="s">
        <v>19038</v>
      </c>
    </row>
    <row r="78" spans="1:9" ht="13.5">
      <c r="A78" s="127" t="str">
        <f t="shared" si="4"/>
        <v>DefinitionsB12</v>
      </c>
      <c r="B78" s="127" t="s">
        <v>773</v>
      </c>
      <c r="C78" s="127" t="s">
        <v>832</v>
      </c>
      <c r="D78" s="249" t="s">
        <v>833</v>
      </c>
      <c r="E78" s="249" t="s">
        <v>834</v>
      </c>
      <c r="F78" s="258" t="s">
        <v>835</v>
      </c>
      <c r="G78" s="260" t="s">
        <v>836</v>
      </c>
      <c r="H78" s="295" t="s">
        <v>19036</v>
      </c>
      <c r="I78" s="189" t="s">
        <v>19039</v>
      </c>
    </row>
    <row r="79" spans="1:9" ht="13.5">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6">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1">
      <c r="A89" s="127" t="str">
        <f t="shared" si="4"/>
        <v>DefinitionsC3</v>
      </c>
      <c r="B89" s="127" t="s">
        <v>773</v>
      </c>
      <c r="C89" s="127" t="s">
        <v>894</v>
      </c>
      <c r="D89" s="127" t="s">
        <v>895</v>
      </c>
      <c r="E89" s="243" t="s">
        <v>896</v>
      </c>
      <c r="F89" s="244" t="s">
        <v>897</v>
      </c>
      <c r="G89" s="127" t="s">
        <v>898</v>
      </c>
      <c r="H89" s="295" t="s">
        <v>899</v>
      </c>
      <c r="I89" s="127" t="s">
        <v>19045</v>
      </c>
    </row>
    <row r="90" spans="1:9" ht="54">
      <c r="A90" s="127" t="str">
        <f t="shared" ref="A90" si="5">B90&amp;C90</f>
        <v>DefinitionsC4</v>
      </c>
      <c r="B90" s="127" t="s">
        <v>773</v>
      </c>
      <c r="C90" s="127" t="s">
        <v>900</v>
      </c>
      <c r="D90" s="127" t="s">
        <v>901</v>
      </c>
      <c r="E90" s="247" t="s">
        <v>902</v>
      </c>
      <c r="F90" s="244" t="s">
        <v>903</v>
      </c>
      <c r="G90" s="252" t="s">
        <v>904</v>
      </c>
      <c r="H90" s="295" t="s">
        <v>905</v>
      </c>
      <c r="I90" s="309" t="s">
        <v>19041</v>
      </c>
    </row>
    <row r="91" spans="1:9" ht="175.5">
      <c r="A91" s="127" t="str">
        <f>B91&amp;C91</f>
        <v>DefinitionsC5</v>
      </c>
      <c r="B91" s="127" t="s">
        <v>773</v>
      </c>
      <c r="C91" s="127" t="s">
        <v>906</v>
      </c>
      <c r="D91" s="127" t="s">
        <v>907</v>
      </c>
      <c r="E91" s="243" t="s">
        <v>908</v>
      </c>
      <c r="F91" s="244" t="s">
        <v>909</v>
      </c>
      <c r="G91" s="127" t="s">
        <v>910</v>
      </c>
      <c r="H91" s="295" t="s">
        <v>911</v>
      </c>
      <c r="I91" s="127" t="s">
        <v>19046</v>
      </c>
    </row>
    <row r="92" spans="1:9" ht="148.5">
      <c r="A92" s="127" t="str">
        <f>B92&amp;C92</f>
        <v>DefinitionsC6</v>
      </c>
      <c r="B92" s="127" t="s">
        <v>773</v>
      </c>
      <c r="C92" s="127" t="s">
        <v>912</v>
      </c>
      <c r="D92" s="127" t="s">
        <v>913</v>
      </c>
      <c r="E92" s="243" t="s">
        <v>914</v>
      </c>
      <c r="F92" s="244" t="s">
        <v>915</v>
      </c>
      <c r="G92" s="127" t="s">
        <v>916</v>
      </c>
      <c r="H92" s="295" t="s">
        <v>917</v>
      </c>
      <c r="I92" s="127" t="s">
        <v>19047</v>
      </c>
    </row>
    <row r="93" spans="1:9" ht="124.5">
      <c r="A93" s="127" t="str">
        <f t="shared" si="4"/>
        <v>DefinitionsC7</v>
      </c>
      <c r="B93" s="127" t="s">
        <v>773</v>
      </c>
      <c r="C93" s="127" t="s">
        <v>918</v>
      </c>
      <c r="D93" s="127" t="s">
        <v>919</v>
      </c>
      <c r="E93" s="243" t="s">
        <v>920</v>
      </c>
      <c r="F93" s="244" t="s">
        <v>921</v>
      </c>
      <c r="G93" s="127" t="s">
        <v>922</v>
      </c>
      <c r="H93" s="295" t="s">
        <v>923</v>
      </c>
      <c r="I93" s="127" t="s">
        <v>19051</v>
      </c>
    </row>
    <row r="94" spans="1:9" ht="121.5">
      <c r="A94" s="127" t="str">
        <f t="shared" si="4"/>
        <v>DefinitionsC8</v>
      </c>
      <c r="B94" s="127" t="s">
        <v>773</v>
      </c>
      <c r="C94" s="127" t="s">
        <v>924</v>
      </c>
      <c r="D94" s="127" t="s">
        <v>925</v>
      </c>
      <c r="E94" s="243" t="s">
        <v>926</v>
      </c>
      <c r="F94" s="244" t="s">
        <v>927</v>
      </c>
      <c r="G94" s="127" t="s">
        <v>928</v>
      </c>
      <c r="H94" s="295" t="s">
        <v>929</v>
      </c>
      <c r="I94" s="127" t="s">
        <v>19049</v>
      </c>
    </row>
    <row r="95" spans="1:9" ht="67.5">
      <c r="A95" s="127" t="str">
        <f t="shared" si="4"/>
        <v>DefinitionsC9</v>
      </c>
      <c r="B95" s="127" t="s">
        <v>773</v>
      </c>
      <c r="C95" s="127" t="s">
        <v>930</v>
      </c>
      <c r="D95" s="127" t="s">
        <v>931</v>
      </c>
      <c r="E95" s="243" t="s">
        <v>932</v>
      </c>
      <c r="F95" s="244" t="s">
        <v>933</v>
      </c>
      <c r="G95" s="127" t="s">
        <v>934</v>
      </c>
      <c r="H95" s="295" t="s">
        <v>935</v>
      </c>
      <c r="I95" s="127" t="s">
        <v>19050</v>
      </c>
    </row>
    <row r="96" spans="1:9" ht="202.5">
      <c r="A96" s="127" t="str">
        <f t="shared" si="4"/>
        <v>DefinitionsC10</v>
      </c>
      <c r="B96" s="127" t="s">
        <v>773</v>
      </c>
      <c r="C96" s="127" t="s">
        <v>936</v>
      </c>
      <c r="D96" s="127" t="s">
        <v>937</v>
      </c>
      <c r="E96" s="243" t="s">
        <v>938</v>
      </c>
      <c r="F96" s="244" t="s">
        <v>939</v>
      </c>
      <c r="G96" s="127" t="s">
        <v>940</v>
      </c>
      <c r="H96" s="295" t="s">
        <v>941</v>
      </c>
      <c r="I96" s="127" t="s">
        <v>19052</v>
      </c>
    </row>
    <row r="97" spans="1:9" ht="41.4" customHeight="1">
      <c r="A97" s="127" t="str">
        <f t="shared" si="4"/>
        <v>DefinitionsC11</v>
      </c>
      <c r="B97" s="127" t="s">
        <v>773</v>
      </c>
      <c r="C97" s="127" t="s">
        <v>942</v>
      </c>
      <c r="D97" s="249" t="s">
        <v>943</v>
      </c>
      <c r="E97" s="250" t="s">
        <v>944</v>
      </c>
      <c r="F97" s="257" t="s">
        <v>945</v>
      </c>
      <c r="G97" s="259" t="s">
        <v>946</v>
      </c>
      <c r="H97" s="301" t="s">
        <v>947</v>
      </c>
      <c r="I97" s="127" t="s">
        <v>19042</v>
      </c>
    </row>
    <row r="98" spans="1:9" ht="41.4" customHeight="1">
      <c r="A98" s="127" t="str">
        <f t="shared" si="4"/>
        <v>DefinitionsC12</v>
      </c>
      <c r="B98" s="127" t="s">
        <v>773</v>
      </c>
      <c r="C98" s="127" t="s">
        <v>948</v>
      </c>
      <c r="D98" s="249" t="s">
        <v>949</v>
      </c>
      <c r="E98" s="250" t="s">
        <v>950</v>
      </c>
      <c r="F98" s="257" t="s">
        <v>951</v>
      </c>
      <c r="G98" s="260" t="s">
        <v>952</v>
      </c>
      <c r="H98" s="295" t="s">
        <v>953</v>
      </c>
      <c r="I98" s="127" t="s">
        <v>19043</v>
      </c>
    </row>
    <row r="99" spans="1:9" ht="135">
      <c r="A99" s="127" t="str">
        <f t="shared" si="4"/>
        <v>DefinitionsC13</v>
      </c>
      <c r="B99" s="127" t="s">
        <v>773</v>
      </c>
      <c r="C99" s="127" t="s">
        <v>954</v>
      </c>
      <c r="D99" s="249" t="s">
        <v>955</v>
      </c>
      <c r="E99" s="250" t="s">
        <v>956</v>
      </c>
      <c r="F99" s="258" t="s">
        <v>957</v>
      </c>
      <c r="G99" s="260" t="s">
        <v>958</v>
      </c>
      <c r="H99" s="295" t="s">
        <v>959</v>
      </c>
      <c r="I99" s="127" t="s">
        <v>19053</v>
      </c>
    </row>
    <row r="100" spans="1:9" ht="54">
      <c r="A100" s="127" t="str">
        <f>B100&amp;C100</f>
        <v>DefinitionsC14</v>
      </c>
      <c r="B100" s="127" t="s">
        <v>773</v>
      </c>
      <c r="C100" s="127" t="s">
        <v>960</v>
      </c>
      <c r="D100" s="127" t="s">
        <v>961</v>
      </c>
      <c r="E100" s="243" t="s">
        <v>962</v>
      </c>
      <c r="F100" s="244" t="s">
        <v>963</v>
      </c>
      <c r="G100" s="127" t="s">
        <v>964</v>
      </c>
      <c r="H100" s="295" t="s">
        <v>965</v>
      </c>
      <c r="I100" s="127" t="s">
        <v>19054</v>
      </c>
    </row>
    <row r="101" spans="1:9" ht="162">
      <c r="A101" s="127" t="str">
        <f t="shared" si="4"/>
        <v>DefinitionsC15</v>
      </c>
      <c r="B101" s="127" t="s">
        <v>773</v>
      </c>
      <c r="C101" s="127" t="s">
        <v>966</v>
      </c>
      <c r="D101" s="127" t="s">
        <v>967</v>
      </c>
      <c r="E101" s="247" t="s">
        <v>968</v>
      </c>
      <c r="F101" s="244" t="s">
        <v>969</v>
      </c>
      <c r="G101" s="245" t="s">
        <v>970</v>
      </c>
      <c r="H101" s="295" t="s">
        <v>971</v>
      </c>
      <c r="I101" s="127" t="s">
        <v>19055</v>
      </c>
    </row>
    <row r="102" spans="1:9" ht="67.5">
      <c r="A102" s="127" t="str">
        <f>B102&amp;C102</f>
        <v>DefinitionsC16</v>
      </c>
      <c r="B102" s="127" t="s">
        <v>773</v>
      </c>
      <c r="C102" s="127" t="s">
        <v>972</v>
      </c>
      <c r="D102" s="127" t="s">
        <v>973</v>
      </c>
      <c r="E102" s="243" t="s">
        <v>974</v>
      </c>
      <c r="F102" s="244" t="s">
        <v>975</v>
      </c>
      <c r="G102" s="127" t="s">
        <v>976</v>
      </c>
      <c r="H102" s="295" t="s">
        <v>977</v>
      </c>
      <c r="I102" s="127" t="s">
        <v>19056</v>
      </c>
    </row>
    <row r="103" spans="1:9" ht="94.5">
      <c r="A103" s="127" t="str">
        <f>B103&amp;C103</f>
        <v>DefinitionsC17</v>
      </c>
      <c r="B103" s="127" t="s">
        <v>773</v>
      </c>
      <c r="C103" s="127" t="s">
        <v>978</v>
      </c>
      <c r="D103" s="127" t="s">
        <v>979</v>
      </c>
      <c r="E103" s="243" t="s">
        <v>980</v>
      </c>
      <c r="F103" s="244" t="s">
        <v>981</v>
      </c>
      <c r="G103" s="127" t="s">
        <v>982</v>
      </c>
      <c r="H103" s="295" t="s">
        <v>983</v>
      </c>
      <c r="I103" s="127" t="s">
        <v>19057</v>
      </c>
    </row>
    <row r="104" spans="1:9" ht="256.5">
      <c r="A104" s="127" t="str">
        <f>B104&amp;C104</f>
        <v>DefinitionsC18</v>
      </c>
      <c r="B104" s="127" t="s">
        <v>773</v>
      </c>
      <c r="C104" s="127" t="s">
        <v>984</v>
      </c>
      <c r="D104" s="127" t="s">
        <v>985</v>
      </c>
      <c r="E104" s="243" t="s">
        <v>986</v>
      </c>
      <c r="F104" s="244" t="s">
        <v>987</v>
      </c>
      <c r="G104" s="127" t="s">
        <v>988</v>
      </c>
      <c r="H104" s="295" t="s">
        <v>989</v>
      </c>
      <c r="I104" s="127" t="s">
        <v>19058</v>
      </c>
    </row>
    <row r="105" spans="1:9" ht="229.5">
      <c r="A105" s="127" t="str">
        <f>B105&amp;C105</f>
        <v>DefinitionsC19</v>
      </c>
      <c r="B105" s="127" t="s">
        <v>773</v>
      </c>
      <c r="C105" s="127" t="s">
        <v>990</v>
      </c>
      <c r="D105" s="127" t="s">
        <v>991</v>
      </c>
      <c r="E105" s="243" t="s">
        <v>992</v>
      </c>
      <c r="F105" s="244" t="s">
        <v>993</v>
      </c>
      <c r="G105" s="252" t="s">
        <v>994</v>
      </c>
      <c r="H105" s="295" t="s">
        <v>995</v>
      </c>
      <c r="I105" s="127" t="s">
        <v>19059</v>
      </c>
    </row>
    <row r="106" spans="1:9" ht="121.5">
      <c r="A106" s="127" t="str">
        <f t="shared" si="4"/>
        <v>DefinitionsC20</v>
      </c>
      <c r="B106" s="127" t="s">
        <v>773</v>
      </c>
      <c r="C106" s="127" t="s">
        <v>996</v>
      </c>
      <c r="D106" s="249" t="s">
        <v>997</v>
      </c>
      <c r="E106" s="250" t="s">
        <v>998</v>
      </c>
      <c r="F106" s="258" t="s">
        <v>999</v>
      </c>
      <c r="G106" s="259" t="s">
        <v>1000</v>
      </c>
      <c r="H106" s="295" t="s">
        <v>1001</v>
      </c>
      <c r="I106" s="127" t="s">
        <v>19060</v>
      </c>
    </row>
    <row r="107" spans="1:9" ht="81">
      <c r="A107" s="127" t="str">
        <f>B107&amp;C107</f>
        <v>DefinitionsC21</v>
      </c>
      <c r="B107" s="127" t="s">
        <v>773</v>
      </c>
      <c r="C107" s="127" t="s">
        <v>1002</v>
      </c>
      <c r="D107" s="127" t="s">
        <v>1003</v>
      </c>
      <c r="E107" s="243" t="s">
        <v>1004</v>
      </c>
      <c r="F107" s="244" t="s">
        <v>1005</v>
      </c>
      <c r="G107" s="127" t="s">
        <v>1006</v>
      </c>
      <c r="H107" s="295" t="s">
        <v>1007</v>
      </c>
      <c r="I107" s="127" t="s">
        <v>19061</v>
      </c>
    </row>
    <row r="108" spans="1:9" ht="27">
      <c r="A108" s="127" t="str">
        <f t="shared" si="4"/>
        <v>DeclarationD2</v>
      </c>
      <c r="B108" s="127" t="s">
        <v>1008</v>
      </c>
      <c r="C108" s="127" t="s">
        <v>1009</v>
      </c>
      <c r="D108" s="249" t="s">
        <v>1010</v>
      </c>
      <c r="E108" s="249" t="s">
        <v>1011</v>
      </c>
      <c r="F108" s="257" t="s">
        <v>1012</v>
      </c>
      <c r="G108" s="262" t="s">
        <v>1013</v>
      </c>
      <c r="H108" s="295" t="s">
        <v>1014</v>
      </c>
      <c r="I108" s="189" t="s">
        <v>19063</v>
      </c>
    </row>
    <row r="109" spans="1:9" ht="27">
      <c r="A109" s="127" t="str">
        <f t="shared" si="4"/>
        <v>DeclarationF3</v>
      </c>
      <c r="B109" s="127" t="s">
        <v>1008</v>
      </c>
      <c r="C109" s="127" t="s">
        <v>1015</v>
      </c>
      <c r="D109" s="127" t="s">
        <v>1016</v>
      </c>
      <c r="E109" s="243" t="s">
        <v>1017</v>
      </c>
      <c r="F109" s="244" t="s">
        <v>1018</v>
      </c>
      <c r="G109" s="127" t="s">
        <v>1019</v>
      </c>
      <c r="H109" s="295" t="s">
        <v>1020</v>
      </c>
      <c r="I109" s="127" t="s">
        <v>19064</v>
      </c>
    </row>
    <row r="110" spans="1:9">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0.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5">
      <c r="A115" s="127" t="str">
        <f t="shared" si="4"/>
        <v>DeclarationB8</v>
      </c>
      <c r="B115" s="127" t="s">
        <v>1008</v>
      </c>
      <c r="C115" s="127" t="s">
        <v>809</v>
      </c>
      <c r="D115" s="127" t="s">
        <v>1048</v>
      </c>
      <c r="E115" s="243" t="s">
        <v>1049</v>
      </c>
      <c r="F115" s="244" t="s">
        <v>1050</v>
      </c>
      <c r="G115" s="127" t="s">
        <v>1051</v>
      </c>
      <c r="H115" s="295" t="s">
        <v>1052</v>
      </c>
      <c r="I115" s="127" t="s">
        <v>19069</v>
      </c>
    </row>
    <row r="116" spans="1:9" ht="15.5">
      <c r="A116" s="127" t="str">
        <f t="shared" si="4"/>
        <v>DeclarationB9</v>
      </c>
      <c r="B116" s="127" t="s">
        <v>1008</v>
      </c>
      <c r="C116" s="127" t="s">
        <v>815</v>
      </c>
      <c r="D116" s="127" t="s">
        <v>1053</v>
      </c>
      <c r="E116" s="243" t="s">
        <v>1054</v>
      </c>
      <c r="F116" s="244" t="s">
        <v>1055</v>
      </c>
      <c r="G116" s="127" t="s">
        <v>1056</v>
      </c>
      <c r="H116" s="295" t="s">
        <v>1057</v>
      </c>
      <c r="I116" s="127" t="s">
        <v>19070</v>
      </c>
    </row>
    <row r="117" spans="1:9">
      <c r="A117" s="127" t="str">
        <f t="shared" si="4"/>
        <v>DeclarationB10</v>
      </c>
      <c r="B117" s="127" t="s">
        <v>1008</v>
      </c>
      <c r="C117" s="127" t="s">
        <v>821</v>
      </c>
      <c r="D117" s="127" t="s">
        <v>1058</v>
      </c>
      <c r="E117" s="243" t="s">
        <v>1059</v>
      </c>
      <c r="F117" s="244" t="s">
        <v>1060</v>
      </c>
      <c r="G117" s="127" t="s">
        <v>1061</v>
      </c>
      <c r="H117" s="295" t="s">
        <v>1062</v>
      </c>
      <c r="I117" s="127" t="s">
        <v>19071</v>
      </c>
    </row>
    <row r="118" spans="1:9">
      <c r="A118" s="127" t="str">
        <f>B118&amp;C118</f>
        <v>DeclarationB10A</v>
      </c>
      <c r="B118" s="127" t="s">
        <v>1008</v>
      </c>
      <c r="C118" s="127" t="s">
        <v>1063</v>
      </c>
      <c r="D118" s="127" t="s">
        <v>1058</v>
      </c>
      <c r="E118" s="243" t="s">
        <v>1059</v>
      </c>
      <c r="F118" s="244" t="s">
        <v>1064</v>
      </c>
      <c r="G118" s="127" t="s">
        <v>1061</v>
      </c>
      <c r="H118" s="295" t="s">
        <v>1062</v>
      </c>
      <c r="I118" s="127" t="s">
        <v>19071</v>
      </c>
    </row>
    <row r="119" spans="1:9">
      <c r="A119" s="127" t="str">
        <f>B119&amp;C119</f>
        <v>DeclarationB10C</v>
      </c>
      <c r="B119" s="127" t="s">
        <v>1008</v>
      </c>
      <c r="C119" s="127" t="s">
        <v>1065</v>
      </c>
      <c r="D119" s="127" t="s">
        <v>1066</v>
      </c>
      <c r="E119" s="243" t="s">
        <v>1067</v>
      </c>
      <c r="F119" s="244" t="s">
        <v>1068</v>
      </c>
      <c r="G119" s="127" t="s">
        <v>1069</v>
      </c>
      <c r="H119" s="295" t="s">
        <v>1070</v>
      </c>
      <c r="I119" s="127" t="s">
        <v>19072</v>
      </c>
    </row>
    <row r="120" spans="1:9" ht="27">
      <c r="A120" s="127" t="str">
        <f>B120&amp;C120</f>
        <v>DeclarationB10B</v>
      </c>
      <c r="B120" s="127" t="s">
        <v>1008</v>
      </c>
      <c r="C120" s="127" t="s">
        <v>1071</v>
      </c>
      <c r="D120" s="127" t="s">
        <v>1072</v>
      </c>
      <c r="E120" s="243" t="s">
        <v>1073</v>
      </c>
      <c r="F120" s="244" t="s">
        <v>1074</v>
      </c>
      <c r="G120" s="127" t="s">
        <v>1075</v>
      </c>
      <c r="H120" s="295" t="s">
        <v>1076</v>
      </c>
      <c r="I120" s="127" t="s">
        <v>19073</v>
      </c>
    </row>
    <row r="121" spans="1:9" ht="27">
      <c r="A121" s="127" t="str">
        <f>B121&amp;C121</f>
        <v>DeclarationD11</v>
      </c>
      <c r="B121" s="127" t="s">
        <v>1008</v>
      </c>
      <c r="C121" s="127" t="s">
        <v>1077</v>
      </c>
      <c r="D121" s="127" t="s">
        <v>1078</v>
      </c>
      <c r="E121" s="243" t="s">
        <v>1079</v>
      </c>
      <c r="F121" s="244" t="s">
        <v>1080</v>
      </c>
      <c r="G121" s="127" t="s">
        <v>1081</v>
      </c>
      <c r="H121" s="295" t="s">
        <v>1082</v>
      </c>
      <c r="I121" s="127" t="s">
        <v>19074</v>
      </c>
    </row>
    <row r="122" spans="1:9">
      <c r="A122" s="127" t="str">
        <f t="shared" si="4"/>
        <v>DeclarationB12</v>
      </c>
      <c r="B122" s="127" t="s">
        <v>1008</v>
      </c>
      <c r="C122" s="127" t="s">
        <v>832</v>
      </c>
      <c r="D122" s="127" t="s">
        <v>1083</v>
      </c>
      <c r="E122" s="243" t="s">
        <v>1084</v>
      </c>
      <c r="F122" s="244" t="s">
        <v>1085</v>
      </c>
      <c r="G122" s="127" t="s">
        <v>1086</v>
      </c>
      <c r="H122" s="295" t="s">
        <v>1087</v>
      </c>
      <c r="I122" s="127" t="s">
        <v>19075</v>
      </c>
    </row>
    <row r="123" spans="1:9">
      <c r="A123" s="127" t="str">
        <f t="shared" si="4"/>
        <v>DeclarationB13</v>
      </c>
      <c r="B123" s="127" t="s">
        <v>1008</v>
      </c>
      <c r="C123" s="127" t="s">
        <v>837</v>
      </c>
      <c r="D123" s="127" t="s">
        <v>1088</v>
      </c>
      <c r="E123" s="243" t="s">
        <v>1089</v>
      </c>
      <c r="F123" s="244" t="s">
        <v>1090</v>
      </c>
      <c r="G123" s="127" t="s">
        <v>1091</v>
      </c>
      <c r="H123" s="295" t="s">
        <v>1092</v>
      </c>
      <c r="I123" s="127" t="s">
        <v>19076</v>
      </c>
    </row>
    <row r="124" spans="1:9">
      <c r="A124" s="127" t="str">
        <f t="shared" si="4"/>
        <v>DeclarationB14</v>
      </c>
      <c r="B124" s="127" t="s">
        <v>1008</v>
      </c>
      <c r="C124" s="127" t="s">
        <v>843</v>
      </c>
      <c r="D124" s="127" t="s">
        <v>1093</v>
      </c>
      <c r="E124" s="243" t="s">
        <v>1094</v>
      </c>
      <c r="F124" s="244" t="s">
        <v>1095</v>
      </c>
      <c r="G124" s="127" t="s">
        <v>1096</v>
      </c>
      <c r="H124" s="295" t="s">
        <v>1097</v>
      </c>
      <c r="I124" s="127" t="s">
        <v>19077</v>
      </c>
    </row>
    <row r="125" spans="1:9">
      <c r="A125" s="127" t="str">
        <f t="shared" si="4"/>
        <v>DeclarationB15</v>
      </c>
      <c r="B125" s="127" t="s">
        <v>1008</v>
      </c>
      <c r="C125" s="127" t="s">
        <v>849</v>
      </c>
      <c r="D125" s="127" t="s">
        <v>1098</v>
      </c>
      <c r="E125" s="243" t="s">
        <v>1099</v>
      </c>
      <c r="F125" s="244" t="s">
        <v>1100</v>
      </c>
      <c r="G125" s="127" t="s">
        <v>1101</v>
      </c>
      <c r="H125" s="295" t="s">
        <v>1102</v>
      </c>
      <c r="I125" s="127" t="s">
        <v>19078</v>
      </c>
    </row>
    <row r="126" spans="1:9">
      <c r="A126" s="127" t="str">
        <f t="shared" si="4"/>
        <v>DeclarationB16</v>
      </c>
      <c r="B126" s="127" t="s">
        <v>1008</v>
      </c>
      <c r="C126" s="127" t="s">
        <v>855</v>
      </c>
      <c r="D126" s="127" t="s">
        <v>1103</v>
      </c>
      <c r="E126" s="243" t="s">
        <v>1104</v>
      </c>
      <c r="F126" s="244" t="s">
        <v>1105</v>
      </c>
      <c r="G126" s="127" t="s">
        <v>1106</v>
      </c>
      <c r="H126" s="295" t="s">
        <v>1107</v>
      </c>
      <c r="I126" s="127" t="s">
        <v>19079</v>
      </c>
    </row>
    <row r="127" spans="1:9">
      <c r="A127" s="127" t="str">
        <f t="shared" si="4"/>
        <v>DeclarationB17</v>
      </c>
      <c r="B127" s="127" t="s">
        <v>1008</v>
      </c>
      <c r="C127" s="127" t="s">
        <v>858</v>
      </c>
      <c r="D127" s="127" t="s">
        <v>1108</v>
      </c>
      <c r="E127" s="243" t="s">
        <v>1109</v>
      </c>
      <c r="F127" s="244" t="s">
        <v>1110</v>
      </c>
      <c r="G127" s="127" t="s">
        <v>1111</v>
      </c>
      <c r="H127" s="295" t="s">
        <v>1112</v>
      </c>
      <c r="I127" s="127" t="s">
        <v>19080</v>
      </c>
    </row>
    <row r="128" spans="1:9">
      <c r="A128" s="127" t="str">
        <f t="shared" si="4"/>
        <v>DeclarationB18</v>
      </c>
      <c r="B128" s="127" t="s">
        <v>1008</v>
      </c>
      <c r="C128" s="127" t="s">
        <v>864</v>
      </c>
      <c r="D128" s="127" t="s">
        <v>1113</v>
      </c>
      <c r="E128" s="243" t="s">
        <v>1114</v>
      </c>
      <c r="F128" s="244" t="s">
        <v>1115</v>
      </c>
      <c r="G128" s="127" t="s">
        <v>1116</v>
      </c>
      <c r="H128" s="295" t="s">
        <v>1117</v>
      </c>
      <c r="I128" s="127" t="s">
        <v>19081</v>
      </c>
    </row>
    <row r="129" spans="1:9">
      <c r="A129" s="127" t="str">
        <f t="shared" si="4"/>
        <v>DeclarationB19</v>
      </c>
      <c r="B129" s="127" t="s">
        <v>1008</v>
      </c>
      <c r="C129" s="127" t="s">
        <v>870</v>
      </c>
      <c r="D129" s="127" t="s">
        <v>1118</v>
      </c>
      <c r="E129" s="243" t="s">
        <v>1119</v>
      </c>
      <c r="F129" s="244" t="s">
        <v>1120</v>
      </c>
      <c r="G129" s="127" t="s">
        <v>1121</v>
      </c>
      <c r="H129" s="295" t="s">
        <v>1122</v>
      </c>
      <c r="I129" s="127" t="s">
        <v>19082</v>
      </c>
    </row>
    <row r="130" spans="1:9">
      <c r="A130" s="127" t="str">
        <f t="shared" si="4"/>
        <v>DeclarationB20</v>
      </c>
      <c r="B130" s="127" t="s">
        <v>1008</v>
      </c>
      <c r="C130" s="127" t="s">
        <v>876</v>
      </c>
      <c r="D130" s="127" t="s">
        <v>1123</v>
      </c>
      <c r="E130" s="243" t="s">
        <v>1124</v>
      </c>
      <c r="F130" s="244" t="s">
        <v>1125</v>
      </c>
      <c r="G130" s="127" t="s">
        <v>1126</v>
      </c>
      <c r="H130" s="295" t="s">
        <v>1127</v>
      </c>
      <c r="I130" s="127" t="s">
        <v>19083</v>
      </c>
    </row>
    <row r="131" spans="1:9">
      <c r="A131" s="127" t="str">
        <f t="shared" si="4"/>
        <v>DeclarationB21</v>
      </c>
      <c r="B131" s="127" t="s">
        <v>1008</v>
      </c>
      <c r="C131" s="127" t="s">
        <v>882</v>
      </c>
      <c r="D131" s="127" t="s">
        <v>1128</v>
      </c>
      <c r="E131" s="243" t="s">
        <v>1129</v>
      </c>
      <c r="F131" s="244" t="s">
        <v>1130</v>
      </c>
      <c r="G131" s="127" t="s">
        <v>1131</v>
      </c>
      <c r="H131" s="295" t="s">
        <v>1132</v>
      </c>
      <c r="I131" s="127" t="s">
        <v>19084</v>
      </c>
    </row>
    <row r="132" spans="1:9">
      <c r="A132" s="127" t="str">
        <f t="shared" si="4"/>
        <v>DeclarationB22</v>
      </c>
      <c r="B132" s="127" t="s">
        <v>1008</v>
      </c>
      <c r="C132" s="127" t="s">
        <v>1133</v>
      </c>
      <c r="D132" s="127" t="s">
        <v>1134</v>
      </c>
      <c r="E132" s="243" t="s">
        <v>1135</v>
      </c>
      <c r="F132" s="244" t="s">
        <v>1136</v>
      </c>
      <c r="G132" s="127" t="s">
        <v>1137</v>
      </c>
      <c r="H132" s="295" t="s">
        <v>1138</v>
      </c>
      <c r="I132" s="127" t="s">
        <v>19085</v>
      </c>
    </row>
    <row r="133" spans="1:9" ht="27">
      <c r="A133" s="127" t="str">
        <f t="shared" si="4"/>
        <v>DeclarationB24</v>
      </c>
      <c r="B133" s="127" t="s">
        <v>1008</v>
      </c>
      <c r="C133" s="127" t="s">
        <v>1139</v>
      </c>
      <c r="D133" s="127" t="s">
        <v>1140</v>
      </c>
      <c r="E133" s="243" t="s">
        <v>1141</v>
      </c>
      <c r="F133" s="244" t="s">
        <v>1142</v>
      </c>
      <c r="G133" s="127" t="s">
        <v>1143</v>
      </c>
      <c r="H133" s="295" t="s">
        <v>1144</v>
      </c>
      <c r="I133" s="127" t="s">
        <v>19086</v>
      </c>
    </row>
    <row r="134" spans="1:9" ht="51">
      <c r="A134" s="127" t="str">
        <f>B134&amp;C134</f>
        <v>DeclarationB25</v>
      </c>
      <c r="B134" s="127" t="s">
        <v>1008</v>
      </c>
      <c r="C134" s="127" t="s">
        <v>1145</v>
      </c>
      <c r="D134" s="127" t="s">
        <v>1146</v>
      </c>
      <c r="E134" s="243" t="s">
        <v>1147</v>
      </c>
      <c r="F134" s="289" t="s">
        <v>1148</v>
      </c>
      <c r="G134" s="127" t="s">
        <v>1149</v>
      </c>
      <c r="H134" s="295" t="s">
        <v>1150</v>
      </c>
      <c r="I134" s="127" t="s">
        <v>19087</v>
      </c>
    </row>
    <row r="135" spans="1:9" ht="27">
      <c r="A135" s="127" t="str">
        <f>B135&amp;C135</f>
        <v>DeclarationB31</v>
      </c>
      <c r="B135" s="127" t="s">
        <v>1008</v>
      </c>
      <c r="C135" s="127" t="s">
        <v>1151</v>
      </c>
      <c r="D135" s="127" t="s">
        <v>1152</v>
      </c>
      <c r="E135" s="127" t="s">
        <v>1153</v>
      </c>
      <c r="F135" s="289" t="s">
        <v>1154</v>
      </c>
      <c r="G135" s="127" t="s">
        <v>1155</v>
      </c>
      <c r="H135" s="295" t="s">
        <v>1156</v>
      </c>
      <c r="I135" s="127" t="s">
        <v>19088</v>
      </c>
    </row>
    <row r="136" spans="1:9" ht="67.5">
      <c r="A136" s="127" t="str">
        <f t="shared" si="4"/>
        <v>DeclarationB37</v>
      </c>
      <c r="B136" s="127" t="s">
        <v>1008</v>
      </c>
      <c r="C136" s="127" t="s">
        <v>1157</v>
      </c>
      <c r="D136" s="127" t="s">
        <v>1158</v>
      </c>
      <c r="E136" s="127" t="s">
        <v>1159</v>
      </c>
      <c r="F136" s="244" t="s">
        <v>1160</v>
      </c>
      <c r="G136" s="127" t="s">
        <v>1161</v>
      </c>
      <c r="H136" s="295" t="s">
        <v>1162</v>
      </c>
      <c r="I136" s="127" t="s">
        <v>19090</v>
      </c>
    </row>
    <row r="137" spans="1:9" ht="28">
      <c r="A137" s="127" t="str">
        <f t="shared" si="4"/>
        <v>DeclarationB43</v>
      </c>
      <c r="B137" s="127" t="s">
        <v>1008</v>
      </c>
      <c r="C137" s="127" t="s">
        <v>1163</v>
      </c>
      <c r="D137" s="127" t="s">
        <v>1164</v>
      </c>
      <c r="E137" s="243" t="s">
        <v>1165</v>
      </c>
      <c r="F137" s="244" t="s">
        <v>1166</v>
      </c>
      <c r="G137" s="127" t="s">
        <v>1167</v>
      </c>
      <c r="H137" s="295" t="s">
        <v>1168</v>
      </c>
      <c r="I137" s="127" t="s">
        <v>19091</v>
      </c>
    </row>
    <row r="138" spans="1:9" ht="28">
      <c r="A138" s="127" t="str">
        <f t="shared" si="4"/>
        <v>DeclarationB49</v>
      </c>
      <c r="B138" s="127" t="s">
        <v>1008</v>
      </c>
      <c r="C138" s="127" t="s">
        <v>1169</v>
      </c>
      <c r="D138" s="127" t="s">
        <v>1170</v>
      </c>
      <c r="E138" s="243" t="s">
        <v>1171</v>
      </c>
      <c r="F138" s="289" t="s">
        <v>1172</v>
      </c>
      <c r="G138" s="127" t="s">
        <v>1173</v>
      </c>
      <c r="H138" s="295" t="s">
        <v>1174</v>
      </c>
      <c r="I138" s="127" t="s">
        <v>19195</v>
      </c>
    </row>
    <row r="139" spans="1:9" ht="40.5">
      <c r="A139" s="127" t="str">
        <f t="shared" si="4"/>
        <v>DeclarationB55</v>
      </c>
      <c r="B139" s="127" t="s">
        <v>1008</v>
      </c>
      <c r="C139" s="127" t="s">
        <v>1175</v>
      </c>
      <c r="D139" s="127" t="s">
        <v>1176</v>
      </c>
      <c r="E139" s="247" t="s">
        <v>1177</v>
      </c>
      <c r="F139" s="244" t="s">
        <v>1178</v>
      </c>
      <c r="G139" s="127" t="s">
        <v>1179</v>
      </c>
      <c r="H139" s="295" t="s">
        <v>1180</v>
      </c>
      <c r="I139" s="127" t="s">
        <v>19196</v>
      </c>
    </row>
    <row r="140" spans="1:9" ht="54">
      <c r="A140" s="127" t="str">
        <f t="shared" si="4"/>
        <v>DeclarationB61</v>
      </c>
      <c r="B140" s="127" t="s">
        <v>1008</v>
      </c>
      <c r="C140" s="127" t="s">
        <v>1181</v>
      </c>
      <c r="D140" s="127" t="s">
        <v>1182</v>
      </c>
      <c r="E140" s="247" t="s">
        <v>1183</v>
      </c>
      <c r="F140" s="244" t="s">
        <v>1184</v>
      </c>
      <c r="G140" s="127" t="s">
        <v>1185</v>
      </c>
      <c r="H140" s="295" t="s">
        <v>1186</v>
      </c>
      <c r="I140" s="127" t="s">
        <v>19197</v>
      </c>
    </row>
    <row r="141" spans="1:9">
      <c r="A141" s="127" t="str">
        <f t="shared" si="4"/>
        <v>DeclarationB67</v>
      </c>
      <c r="B141" s="127" t="s">
        <v>1008</v>
      </c>
      <c r="C141" s="127" t="s">
        <v>1187</v>
      </c>
      <c r="D141" s="127" t="s">
        <v>1188</v>
      </c>
      <c r="E141" s="243" t="s">
        <v>1189</v>
      </c>
      <c r="F141" s="244" t="s">
        <v>1190</v>
      </c>
      <c r="G141" s="127" t="s">
        <v>1191</v>
      </c>
      <c r="H141" s="295" t="s">
        <v>1192</v>
      </c>
      <c r="I141" s="127" t="s">
        <v>19101</v>
      </c>
    </row>
    <row r="142" spans="1:9" ht="27">
      <c r="A142" s="127" t="str">
        <f t="shared" si="4"/>
        <v>DeclarationB69</v>
      </c>
      <c r="B142" s="127" t="s">
        <v>1008</v>
      </c>
      <c r="C142" s="127" t="s">
        <v>1193</v>
      </c>
      <c r="D142" s="127" t="s">
        <v>1194</v>
      </c>
      <c r="E142" s="243" t="s">
        <v>12697</v>
      </c>
      <c r="F142" s="289" t="s">
        <v>1195</v>
      </c>
      <c r="G142" s="127" t="s">
        <v>1196</v>
      </c>
      <c r="H142" s="295" t="s">
        <v>1197</v>
      </c>
      <c r="I142" s="127" t="s">
        <v>19095</v>
      </c>
    </row>
    <row r="143" spans="1:9" ht="54">
      <c r="A143" s="127" t="str">
        <f t="shared" si="4"/>
        <v>DeclarationB71</v>
      </c>
      <c r="B143" s="127" t="s">
        <v>1008</v>
      </c>
      <c r="C143" s="127" t="s">
        <v>1198</v>
      </c>
      <c r="D143" s="127" t="s">
        <v>1199</v>
      </c>
      <c r="E143" s="243" t="s">
        <v>12698</v>
      </c>
      <c r="F143" s="244" t="s">
        <v>1200</v>
      </c>
      <c r="G143" s="127" t="s">
        <v>1201</v>
      </c>
      <c r="H143" s="295" t="s">
        <v>1202</v>
      </c>
      <c r="I143" s="127" t="s">
        <v>19096</v>
      </c>
    </row>
    <row r="144" spans="1:9" ht="40.5">
      <c r="A144" s="127" t="str">
        <f t="shared" ref="A144:A177" si="6">B144&amp;C144</f>
        <v>Declaration</v>
      </c>
      <c r="B144" s="127" t="s">
        <v>1008</v>
      </c>
      <c r="D144" s="127" t="s">
        <v>1203</v>
      </c>
      <c r="E144" s="243" t="s">
        <v>1204</v>
      </c>
      <c r="F144" s="264" t="s">
        <v>1205</v>
      </c>
      <c r="G144" s="127" t="s">
        <v>1206</v>
      </c>
      <c r="H144" s="295" t="s">
        <v>1207</v>
      </c>
      <c r="I144" s="127"/>
    </row>
    <row r="145" spans="1:9" ht="81">
      <c r="A145" s="127" t="str">
        <f t="shared" si="6"/>
        <v>DeclarationB73</v>
      </c>
      <c r="B145" s="127" t="s">
        <v>1008</v>
      </c>
      <c r="C145" s="127" t="s">
        <v>1208</v>
      </c>
      <c r="D145" s="127" t="s">
        <v>1209</v>
      </c>
      <c r="E145" s="247" t="s">
        <v>1210</v>
      </c>
      <c r="F145" s="244" t="s">
        <v>1211</v>
      </c>
      <c r="G145" s="127" t="s">
        <v>1212</v>
      </c>
      <c r="H145" s="295" t="s">
        <v>1213</v>
      </c>
      <c r="I145" s="127" t="s">
        <v>19097</v>
      </c>
    </row>
    <row r="146" spans="1:9" ht="27">
      <c r="A146" s="127" t="str">
        <f t="shared" si="6"/>
        <v>DeclarationB77</v>
      </c>
      <c r="B146" s="127" t="s">
        <v>1008</v>
      </c>
      <c r="C146" s="127" t="s">
        <v>1214</v>
      </c>
      <c r="D146" s="127" t="s">
        <v>1215</v>
      </c>
      <c r="E146" s="243" t="s">
        <v>12699</v>
      </c>
      <c r="F146" s="244" t="s">
        <v>1216</v>
      </c>
      <c r="G146" s="127" t="s">
        <v>1217</v>
      </c>
      <c r="H146" s="301" t="s">
        <v>1218</v>
      </c>
      <c r="I146" s="127" t="s">
        <v>19089</v>
      </c>
    </row>
    <row r="147" spans="1:9" ht="40.5">
      <c r="A147" s="127" t="str">
        <f t="shared" si="6"/>
        <v>DeclarationB79</v>
      </c>
      <c r="B147" s="127" t="s">
        <v>1008</v>
      </c>
      <c r="C147" s="127" t="s">
        <v>1219</v>
      </c>
      <c r="D147" s="127" t="s">
        <v>1220</v>
      </c>
      <c r="E147" s="247" t="s">
        <v>1221</v>
      </c>
      <c r="F147" s="289" t="s">
        <v>1222</v>
      </c>
      <c r="G147" s="127" t="s">
        <v>1223</v>
      </c>
      <c r="H147" s="295" t="s">
        <v>1224</v>
      </c>
      <c r="I147" s="127" t="s">
        <v>19094</v>
      </c>
    </row>
    <row r="148" spans="1:9" ht="40.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
      <c r="A149" s="127" t="str">
        <f t="shared" si="6"/>
        <v>DeclarationB83</v>
      </c>
      <c r="B149" s="127" t="s">
        <v>1008</v>
      </c>
      <c r="C149" s="127" t="s">
        <v>1230</v>
      </c>
      <c r="D149" s="127" t="s">
        <v>1231</v>
      </c>
      <c r="E149" s="243" t="s">
        <v>1232</v>
      </c>
      <c r="F149" s="244" t="s">
        <v>1233</v>
      </c>
      <c r="G149" s="127" t="s">
        <v>1234</v>
      </c>
      <c r="H149" s="301" t="s">
        <v>1235</v>
      </c>
      <c r="I149" s="127" t="s">
        <v>19092</v>
      </c>
    </row>
    <row r="150" spans="1:9">
      <c r="A150" s="127" t="str">
        <f t="shared" si="6"/>
        <v>DeclarationD25</v>
      </c>
      <c r="B150" s="127" t="s">
        <v>1008</v>
      </c>
      <c r="C150" s="127" t="s">
        <v>1236</v>
      </c>
      <c r="D150" s="127" t="s">
        <v>1237</v>
      </c>
      <c r="E150" s="243" t="s">
        <v>1238</v>
      </c>
      <c r="F150" s="244" t="s">
        <v>1238</v>
      </c>
      <c r="G150" s="127" t="s">
        <v>1239</v>
      </c>
      <c r="H150" s="295" t="s">
        <v>1240</v>
      </c>
      <c r="I150" s="127" t="s">
        <v>19102</v>
      </c>
    </row>
    <row r="151" spans="1:9">
      <c r="A151" s="127" t="str">
        <f t="shared" si="6"/>
        <v>DeclarationB68</v>
      </c>
      <c r="B151" s="127" t="s">
        <v>1008</v>
      </c>
      <c r="C151" s="127" t="s">
        <v>1241</v>
      </c>
      <c r="D151" s="127" t="s">
        <v>1242</v>
      </c>
      <c r="E151" s="243" t="s">
        <v>1243</v>
      </c>
      <c r="F151" s="244" t="s">
        <v>1244</v>
      </c>
      <c r="G151" s="127" t="s">
        <v>1245</v>
      </c>
      <c r="H151" s="295" t="s">
        <v>1242</v>
      </c>
      <c r="I151" s="127" t="s">
        <v>19103</v>
      </c>
    </row>
    <row r="152" spans="1:9">
      <c r="A152" s="127" t="str">
        <f t="shared" si="6"/>
        <v>DeclarationG25</v>
      </c>
      <c r="B152" s="127" t="s">
        <v>1008</v>
      </c>
      <c r="C152" s="127" t="s">
        <v>1246</v>
      </c>
      <c r="D152" s="127" t="s">
        <v>1247</v>
      </c>
      <c r="E152" s="243" t="s">
        <v>1248</v>
      </c>
      <c r="F152" s="244" t="s">
        <v>1249</v>
      </c>
      <c r="G152" s="127" t="s">
        <v>1250</v>
      </c>
      <c r="H152" s="295" t="s">
        <v>1251</v>
      </c>
      <c r="I152" s="189" t="s">
        <v>19104</v>
      </c>
    </row>
    <row r="153" spans="1:9">
      <c r="A153" s="127" t="str">
        <f t="shared" si="6"/>
        <v>DeclarationB26</v>
      </c>
      <c r="B153" s="127" t="s">
        <v>1008</v>
      </c>
      <c r="C153" s="127" t="s">
        <v>1252</v>
      </c>
      <c r="D153" s="127" t="s">
        <v>43</v>
      </c>
      <c r="E153" s="243" t="s">
        <v>1253</v>
      </c>
      <c r="F153" s="244" t="s">
        <v>1254</v>
      </c>
      <c r="G153" s="127" t="s">
        <v>1255</v>
      </c>
      <c r="H153" s="295" t="s">
        <v>43</v>
      </c>
      <c r="I153" s="189" t="s">
        <v>43</v>
      </c>
    </row>
    <row r="154" spans="1:9">
      <c r="A154" s="127" t="str">
        <f t="shared" si="6"/>
        <v>DeclarationB27</v>
      </c>
      <c r="B154" s="127" t="s">
        <v>1008</v>
      </c>
      <c r="C154" s="127" t="s">
        <v>1256</v>
      </c>
      <c r="D154" s="127" t="s">
        <v>44</v>
      </c>
      <c r="E154" s="243" t="s">
        <v>12673</v>
      </c>
      <c r="F154" s="265" t="s">
        <v>1257</v>
      </c>
      <c r="G154" t="s">
        <v>12672</v>
      </c>
      <c r="H154" s="295" t="s">
        <v>44</v>
      </c>
      <c r="I154" s="189" t="s">
        <v>19105</v>
      </c>
    </row>
    <row r="155" spans="1:9">
      <c r="A155" s="127" t="str">
        <f t="shared" si="6"/>
        <v>DeclarationB28</v>
      </c>
      <c r="B155" s="127" t="s">
        <v>1008</v>
      </c>
      <c r="C155" s="127" t="s">
        <v>1258</v>
      </c>
      <c r="G155"/>
      <c r="H155" s="295"/>
    </row>
    <row r="156" spans="1:9">
      <c r="A156" s="127" t="str">
        <f t="shared" si="6"/>
        <v>DeclarationB29</v>
      </c>
      <c r="B156" s="127" t="s">
        <v>1008</v>
      </c>
      <c r="C156" s="127" t="s">
        <v>1259</v>
      </c>
      <c r="G156"/>
      <c r="H156" s="295"/>
    </row>
    <row r="157" spans="1:9">
      <c r="A157" s="127" t="str">
        <f t="shared" si="6"/>
        <v>DeclarationB32</v>
      </c>
      <c r="B157" s="127" t="s">
        <v>1008</v>
      </c>
      <c r="C157" s="127" t="s">
        <v>1260</v>
      </c>
      <c r="D157" s="127" t="s">
        <v>43</v>
      </c>
      <c r="E157" s="243" t="s">
        <v>1253</v>
      </c>
      <c r="F157" s="244" t="s">
        <v>1254</v>
      </c>
      <c r="G157" s="127" t="s">
        <v>1255</v>
      </c>
      <c r="H157" s="295" t="s">
        <v>43</v>
      </c>
      <c r="I157" s="189" t="s">
        <v>43</v>
      </c>
    </row>
    <row r="158" spans="1:9">
      <c r="A158" s="127" t="str">
        <f t="shared" si="6"/>
        <v>DeclarationB33</v>
      </c>
      <c r="B158" s="127" t="s">
        <v>1008</v>
      </c>
      <c r="C158" s="127" t="s">
        <v>1261</v>
      </c>
      <c r="D158" s="127" t="s">
        <v>44</v>
      </c>
      <c r="E158" s="243" t="s">
        <v>12673</v>
      </c>
      <c r="F158" s="265" t="s">
        <v>1257</v>
      </c>
      <c r="G158" t="s">
        <v>12672</v>
      </c>
      <c r="H158" s="295" t="s">
        <v>44</v>
      </c>
      <c r="I158" s="189" t="s">
        <v>19105</v>
      </c>
    </row>
    <row r="159" spans="1:9">
      <c r="A159" s="127" t="str">
        <f t="shared" si="6"/>
        <v>DeclarationB34</v>
      </c>
      <c r="B159" s="127" t="s">
        <v>1008</v>
      </c>
      <c r="C159" s="127" t="s">
        <v>1262</v>
      </c>
      <c r="G159"/>
      <c r="H159" s="295"/>
    </row>
    <row r="160" spans="1:9">
      <c r="A160" s="127" t="str">
        <f t="shared" si="6"/>
        <v>DeclarationB35</v>
      </c>
      <c r="B160" s="127" t="s">
        <v>1008</v>
      </c>
      <c r="C160" s="127" t="s">
        <v>1263</v>
      </c>
      <c r="G160"/>
      <c r="H160" s="295"/>
    </row>
    <row r="161" spans="1:9">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c r="A162" s="127" t="str">
        <f t="shared" si="7"/>
        <v>DeclarationB39</v>
      </c>
      <c r="B162" s="127" t="s">
        <v>1008</v>
      </c>
      <c r="C162" s="127" t="s">
        <v>1265</v>
      </c>
      <c r="D162" s="127" t="s">
        <v>44</v>
      </c>
      <c r="E162" s="243" t="s">
        <v>12673</v>
      </c>
      <c r="F162" s="265" t="s">
        <v>1257</v>
      </c>
      <c r="G162" t="s">
        <v>12672</v>
      </c>
      <c r="H162" s="295" t="s">
        <v>44</v>
      </c>
      <c r="I162" s="189" t="s">
        <v>19105</v>
      </c>
    </row>
    <row r="163" spans="1:9">
      <c r="A163" s="127" t="str">
        <f t="shared" si="7"/>
        <v>DeclarationB40</v>
      </c>
      <c r="B163" s="127" t="s">
        <v>1008</v>
      </c>
      <c r="C163" s="127" t="s">
        <v>1266</v>
      </c>
      <c r="G163"/>
      <c r="H163" s="295"/>
    </row>
    <row r="164" spans="1:9">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c r="A166" s="127" t="str">
        <f t="shared" si="6"/>
        <v>DeclarationB86</v>
      </c>
      <c r="B166" s="127" t="s">
        <v>1008</v>
      </c>
      <c r="C166" s="127" t="s">
        <v>1274</v>
      </c>
      <c r="D166" s="127" t="s">
        <v>25</v>
      </c>
      <c r="E166" s="243" t="s">
        <v>1275</v>
      </c>
      <c r="F166" s="244" t="s">
        <v>1276</v>
      </c>
      <c r="G166" s="127" t="s">
        <v>1277</v>
      </c>
      <c r="H166" s="295" t="s">
        <v>1278</v>
      </c>
      <c r="I166" s="189" t="s">
        <v>19107</v>
      </c>
    </row>
    <row r="167" spans="1:9">
      <c r="A167" s="127" t="str">
        <f t="shared" si="6"/>
        <v>DeclarationB87</v>
      </c>
      <c r="B167" s="127" t="s">
        <v>1008</v>
      </c>
      <c r="C167" s="127" t="s">
        <v>1279</v>
      </c>
      <c r="D167" s="127" t="s">
        <v>22</v>
      </c>
      <c r="E167" s="243" t="s">
        <v>1280</v>
      </c>
      <c r="F167" s="244" t="s">
        <v>1281</v>
      </c>
      <c r="G167" s="127" t="s">
        <v>1282</v>
      </c>
      <c r="H167" s="295" t="s">
        <v>22</v>
      </c>
      <c r="I167" s="189" t="s">
        <v>19108</v>
      </c>
    </row>
    <row r="168" spans="1:9">
      <c r="A168" s="127" t="str">
        <f t="shared" si="6"/>
        <v>DeclarationB88</v>
      </c>
      <c r="B168" s="127" t="s">
        <v>1008</v>
      </c>
      <c r="C168" s="127" t="s">
        <v>1283</v>
      </c>
      <c r="D168" s="127" t="s">
        <v>26</v>
      </c>
      <c r="E168" s="243" t="s">
        <v>1284</v>
      </c>
      <c r="F168" s="244" t="s">
        <v>1285</v>
      </c>
      <c r="G168" s="127" t="s">
        <v>1286</v>
      </c>
      <c r="H168" s="295" t="s">
        <v>1287</v>
      </c>
      <c r="I168" s="189" t="s">
        <v>19109</v>
      </c>
    </row>
    <row r="169" spans="1:9" ht="13.5">
      <c r="A169" s="127" t="str">
        <f t="shared" si="6"/>
        <v>DeclarationB89</v>
      </c>
      <c r="B169" s="127" t="s">
        <v>1008</v>
      </c>
      <c r="C169" s="127" t="s">
        <v>1288</v>
      </c>
      <c r="D169" s="266">
        <v>1</v>
      </c>
      <c r="E169" s="266">
        <v>1</v>
      </c>
      <c r="F169" s="267">
        <v>1</v>
      </c>
      <c r="G169" s="266">
        <v>1</v>
      </c>
      <c r="H169" s="295" t="s">
        <v>1289</v>
      </c>
      <c r="I169" s="311">
        <v>1</v>
      </c>
    </row>
    <row r="170" spans="1:9">
      <c r="A170" s="127" t="str">
        <f t="shared" si="6"/>
        <v>DeclarationB90</v>
      </c>
      <c r="B170" s="127" t="s">
        <v>1008</v>
      </c>
      <c r="C170" s="127" t="s">
        <v>1290</v>
      </c>
      <c r="D170" s="268" t="s">
        <v>29</v>
      </c>
      <c r="E170" s="269" t="s">
        <v>1291</v>
      </c>
      <c r="F170" s="293" t="s">
        <v>1292</v>
      </c>
      <c r="G170" s="270" t="s">
        <v>1293</v>
      </c>
      <c r="H170" s="297" t="s">
        <v>1294</v>
      </c>
      <c r="I170" s="189" t="s">
        <v>19110</v>
      </c>
    </row>
    <row r="171" spans="1:9">
      <c r="A171" s="127" t="str">
        <f t="shared" si="6"/>
        <v>DeclarationB91</v>
      </c>
      <c r="B171" s="127" t="s">
        <v>1008</v>
      </c>
      <c r="C171" s="127" t="s">
        <v>1295</v>
      </c>
      <c r="D171" s="268" t="s">
        <v>30</v>
      </c>
      <c r="E171" s="269" t="s">
        <v>1296</v>
      </c>
      <c r="F171" s="293" t="s">
        <v>1297</v>
      </c>
      <c r="G171" s="270" t="s">
        <v>1298</v>
      </c>
      <c r="H171" s="297" t="s">
        <v>1299</v>
      </c>
      <c r="I171" s="189" t="s">
        <v>19111</v>
      </c>
    </row>
    <row r="172" spans="1:9">
      <c r="A172" s="127" t="str">
        <f t="shared" si="6"/>
        <v>DeclarationB92</v>
      </c>
      <c r="B172" s="127" t="s">
        <v>1008</v>
      </c>
      <c r="C172" s="127" t="s">
        <v>1300</v>
      </c>
      <c r="D172" s="268" t="s">
        <v>31</v>
      </c>
      <c r="E172" s="269" t="s">
        <v>1301</v>
      </c>
      <c r="F172" s="293" t="s">
        <v>1302</v>
      </c>
      <c r="G172" s="270" t="s">
        <v>1303</v>
      </c>
      <c r="H172" s="297" t="s">
        <v>1304</v>
      </c>
      <c r="I172" s="189" t="s">
        <v>19112</v>
      </c>
    </row>
    <row r="173" spans="1:9">
      <c r="A173" s="127" t="str">
        <f t="shared" si="6"/>
        <v>DeclarationB93</v>
      </c>
      <c r="B173" s="127" t="s">
        <v>1008</v>
      </c>
      <c r="C173" s="127" t="s">
        <v>1305</v>
      </c>
      <c r="D173" s="268" t="s">
        <v>32</v>
      </c>
      <c r="E173" s="269" t="s">
        <v>1306</v>
      </c>
      <c r="F173" s="293" t="s">
        <v>1307</v>
      </c>
      <c r="G173" s="270" t="s">
        <v>1308</v>
      </c>
      <c r="H173" s="297" t="s">
        <v>1309</v>
      </c>
      <c r="I173" s="189" t="s">
        <v>19113</v>
      </c>
    </row>
    <row r="174" spans="1:9">
      <c r="A174" s="127" t="str">
        <f t="shared" si="6"/>
        <v>DeclarationB94</v>
      </c>
      <c r="B174" s="127" t="s">
        <v>1008</v>
      </c>
      <c r="C174" s="127" t="s">
        <v>1310</v>
      </c>
      <c r="D174" s="127" t="s">
        <v>33</v>
      </c>
      <c r="E174" s="243" t="s">
        <v>1311</v>
      </c>
      <c r="F174" s="244" t="s">
        <v>1312</v>
      </c>
      <c r="G174" s="127" t="s">
        <v>1313</v>
      </c>
      <c r="H174" s="295" t="s">
        <v>1314</v>
      </c>
      <c r="I174" s="189" t="s">
        <v>19114</v>
      </c>
    </row>
    <row r="175" spans="1:9" ht="27">
      <c r="A175" s="127" t="str">
        <f t="shared" si="6"/>
        <v>DeclarationB95</v>
      </c>
      <c r="B175" s="127" t="s">
        <v>1008</v>
      </c>
      <c r="C175" s="127" t="s">
        <v>1315</v>
      </c>
      <c r="D175" s="271" t="s">
        <v>1316</v>
      </c>
      <c r="E175" s="272" t="s">
        <v>1317</v>
      </c>
      <c r="F175" s="289" t="s">
        <v>1318</v>
      </c>
      <c r="G175" s="273" t="s">
        <v>1319</v>
      </c>
      <c r="H175" s="295" t="s">
        <v>1320</v>
      </c>
      <c r="I175" s="127" t="s">
        <v>19116</v>
      </c>
    </row>
    <row r="176" spans="1:9" ht="27">
      <c r="A176" s="127" t="str">
        <f t="shared" si="6"/>
        <v>DeclarationB96</v>
      </c>
      <c r="B176" s="127" t="s">
        <v>1008</v>
      </c>
      <c r="C176" s="127" t="s">
        <v>1321</v>
      </c>
      <c r="D176" s="271" t="s">
        <v>1322</v>
      </c>
      <c r="E176" s="263" t="s">
        <v>1323</v>
      </c>
      <c r="F176" s="289" t="s">
        <v>1324</v>
      </c>
      <c r="G176" s="274" t="s">
        <v>1325</v>
      </c>
      <c r="H176" s="295" t="s">
        <v>1326</v>
      </c>
      <c r="I176" s="127" t="s">
        <v>19115</v>
      </c>
    </row>
    <row r="177" spans="1:9">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7">
      <c r="A179" s="127" t="str">
        <f t="shared" si="8"/>
        <v>Smelter Look-upA4</v>
      </c>
      <c r="B179" s="127" t="s">
        <v>1329</v>
      </c>
      <c r="C179" s="127" t="s">
        <v>1335</v>
      </c>
      <c r="D179" s="127" t="s">
        <v>1336</v>
      </c>
      <c r="E179" s="276"/>
      <c r="F179" s="244" t="s">
        <v>1337</v>
      </c>
      <c r="G179" s="127" t="s">
        <v>1338</v>
      </c>
      <c r="H179" s="295" t="s">
        <v>1339</v>
      </c>
      <c r="I179" s="189" t="s">
        <v>19118</v>
      </c>
    </row>
    <row r="180" spans="1:9" ht="27">
      <c r="A180" s="127" t="str">
        <f t="shared" si="8"/>
        <v>Smelter Look-upB4</v>
      </c>
      <c r="B180" s="127" t="s">
        <v>1329</v>
      </c>
      <c r="C180" s="127" t="s">
        <v>785</v>
      </c>
      <c r="D180" s="127" t="s">
        <v>1340</v>
      </c>
      <c r="E180" s="292" t="s">
        <v>1341</v>
      </c>
      <c r="F180" s="289" t="s">
        <v>1342</v>
      </c>
      <c r="G180" s="127" t="s">
        <v>1343</v>
      </c>
      <c r="H180" s="295" t="s">
        <v>1344</v>
      </c>
      <c r="I180" s="189" t="s">
        <v>19119</v>
      </c>
    </row>
    <row r="181" spans="1:9" ht="27">
      <c r="A181" s="127" t="str">
        <f t="shared" si="8"/>
        <v>Smelter Look-up</v>
      </c>
      <c r="B181" s="127" t="s">
        <v>1329</v>
      </c>
      <c r="D181" s="127" t="s">
        <v>1345</v>
      </c>
      <c r="E181" s="276"/>
      <c r="F181" s="244" t="s">
        <v>1346</v>
      </c>
      <c r="G181" s="127" t="s">
        <v>1347</v>
      </c>
      <c r="H181" s="295" t="s">
        <v>1348</v>
      </c>
      <c r="I181" s="189" t="s">
        <v>19120</v>
      </c>
    </row>
    <row r="182" spans="1:9" ht="27">
      <c r="A182" s="127" t="str">
        <f t="shared" si="8"/>
        <v>Smelter Look-upC4</v>
      </c>
      <c r="B182" s="127" t="s">
        <v>1329</v>
      </c>
      <c r="C182" s="127" t="s">
        <v>900</v>
      </c>
      <c r="D182" s="127" t="s">
        <v>1349</v>
      </c>
      <c r="E182" s="276" t="s">
        <v>1350</v>
      </c>
      <c r="F182" s="244" t="s">
        <v>1351</v>
      </c>
      <c r="G182" s="127" t="s">
        <v>1352</v>
      </c>
      <c r="H182" s="295" t="s">
        <v>1353</v>
      </c>
      <c r="I182" s="189" t="s">
        <v>19121</v>
      </c>
    </row>
    <row r="183" spans="1:9" ht="27">
      <c r="A183" s="127" t="str">
        <f t="shared" si="8"/>
        <v>Smelter Look-upD4</v>
      </c>
      <c r="B183" s="127" t="s">
        <v>1329</v>
      </c>
      <c r="C183" s="127" t="s">
        <v>1354</v>
      </c>
      <c r="D183" s="127" t="s">
        <v>1355</v>
      </c>
      <c r="E183" s="276"/>
      <c r="F183" s="244" t="s">
        <v>1356</v>
      </c>
      <c r="G183" s="127" t="s">
        <v>1357</v>
      </c>
      <c r="H183" s="295" t="s">
        <v>1358</v>
      </c>
      <c r="I183" s="189" t="s">
        <v>19122</v>
      </c>
    </row>
    <row r="184" spans="1:9" ht="27">
      <c r="A184" s="127" t="str">
        <f t="shared" si="8"/>
        <v>Smelter Look-upE4</v>
      </c>
      <c r="B184" s="127" t="s">
        <v>1329</v>
      </c>
      <c r="C184" s="127" t="s">
        <v>1359</v>
      </c>
      <c r="D184" s="127" t="s">
        <v>1360</v>
      </c>
      <c r="E184" s="292" t="s">
        <v>1361</v>
      </c>
      <c r="F184" s="289" t="s">
        <v>1362</v>
      </c>
      <c r="G184" s="127" t="s">
        <v>1363</v>
      </c>
      <c r="H184" s="295" t="s">
        <v>1364</v>
      </c>
      <c r="I184" s="189" t="s">
        <v>19123</v>
      </c>
    </row>
    <row r="185" spans="1:9" ht="27">
      <c r="A185" s="127" t="str">
        <f t="shared" si="8"/>
        <v>Smelter Look-upF4</v>
      </c>
      <c r="B185" s="127" t="s">
        <v>1329</v>
      </c>
      <c r="C185" s="127" t="s">
        <v>1365</v>
      </c>
      <c r="D185" s="127" t="s">
        <v>1366</v>
      </c>
      <c r="E185" s="243" t="s">
        <v>1367</v>
      </c>
      <c r="F185" s="244" t="s">
        <v>1368</v>
      </c>
      <c r="G185" s="127" t="s">
        <v>1369</v>
      </c>
      <c r="H185" s="295" t="s">
        <v>1370</v>
      </c>
      <c r="I185" s="189" t="s">
        <v>19124</v>
      </c>
    </row>
    <row r="186" spans="1:9" ht="27">
      <c r="A186" s="127" t="str">
        <f t="shared" si="8"/>
        <v>Smelter Look-upG4</v>
      </c>
      <c r="B186" s="127" t="s">
        <v>1329</v>
      </c>
      <c r="C186" s="127" t="s">
        <v>1371</v>
      </c>
      <c r="D186" s="127" t="s">
        <v>1372</v>
      </c>
      <c r="E186" s="243" t="s">
        <v>1373</v>
      </c>
      <c r="F186" s="244" t="s">
        <v>1374</v>
      </c>
      <c r="G186" s="127" t="s">
        <v>1375</v>
      </c>
      <c r="H186" s="295" t="s">
        <v>1376</v>
      </c>
      <c r="I186" s="189" t="s">
        <v>19125</v>
      </c>
    </row>
    <row r="187" spans="1:9" ht="27">
      <c r="A187" s="127" t="str">
        <f t="shared" si="8"/>
        <v>Smelter Look-upH4</v>
      </c>
      <c r="B187" s="127" t="s">
        <v>1329</v>
      </c>
      <c r="C187" s="127" t="s">
        <v>1377</v>
      </c>
      <c r="D187" s="127" t="s">
        <v>1378</v>
      </c>
      <c r="E187" s="243" t="s">
        <v>1379</v>
      </c>
      <c r="F187" s="244" t="s">
        <v>1380</v>
      </c>
      <c r="G187" s="127" t="s">
        <v>1381</v>
      </c>
      <c r="H187" s="295" t="s">
        <v>1382</v>
      </c>
      <c r="I187" s="189" t="s">
        <v>19126</v>
      </c>
    </row>
    <row r="188" spans="1:9" ht="27">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c r="A191" s="127" t="str">
        <f t="shared" si="8"/>
        <v>Smelter ListC4</v>
      </c>
      <c r="B191" s="127" t="s">
        <v>1389</v>
      </c>
      <c r="C191" s="127" t="s">
        <v>900</v>
      </c>
      <c r="D191" s="127" t="s">
        <v>1340</v>
      </c>
      <c r="E191" s="292" t="s">
        <v>1341</v>
      </c>
      <c r="F191" s="289" t="s">
        <v>1342</v>
      </c>
      <c r="G191" s="127" t="s">
        <v>1343</v>
      </c>
      <c r="H191" s="295" t="s">
        <v>1344</v>
      </c>
      <c r="I191" s="189" t="s">
        <v>19119</v>
      </c>
    </row>
    <row r="192" spans="1:9" ht="26">
      <c r="A192" s="127" t="str">
        <f t="shared" si="8"/>
        <v>Smelter ListD4</v>
      </c>
      <c r="B192" s="127" t="s">
        <v>1389</v>
      </c>
      <c r="C192" s="127" t="s">
        <v>1354</v>
      </c>
      <c r="D192" s="277" t="s">
        <v>1400</v>
      </c>
      <c r="E192" s="292" t="s">
        <v>1401</v>
      </c>
      <c r="F192" s="289" t="s">
        <v>1402</v>
      </c>
      <c r="G192" s="277" t="s">
        <v>1403</v>
      </c>
      <c r="H192" s="295" t="s">
        <v>1404</v>
      </c>
      <c r="I192" s="189" t="s">
        <v>19130</v>
      </c>
    </row>
    <row r="193" spans="1:9" ht="15.5">
      <c r="A193" s="127" t="str">
        <f t="shared" si="8"/>
        <v>Smelter ListE4</v>
      </c>
      <c r="B193" s="127" t="s">
        <v>1389</v>
      </c>
      <c r="C193" s="127" t="s">
        <v>1359</v>
      </c>
      <c r="D193" s="127" t="s">
        <v>1405</v>
      </c>
      <c r="E193" s="243" t="s">
        <v>1406</v>
      </c>
      <c r="F193" s="244" t="s">
        <v>1407</v>
      </c>
      <c r="G193" s="127" t="s">
        <v>1408</v>
      </c>
      <c r="H193" s="295" t="s">
        <v>1409</v>
      </c>
      <c r="I193" s="189" t="s">
        <v>19131</v>
      </c>
    </row>
    <row r="194" spans="1:9">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c r="A199" s="127" t="str">
        <f t="shared" si="8"/>
        <v>Smelter ListM4</v>
      </c>
      <c r="B199" s="127" t="s">
        <v>1389</v>
      </c>
      <c r="C199" s="127" t="s">
        <v>1423</v>
      </c>
      <c r="D199" s="127" t="s">
        <v>1424</v>
      </c>
      <c r="E199" s="243" t="s">
        <v>1425</v>
      </c>
      <c r="F199" s="244" t="s">
        <v>1426</v>
      </c>
      <c r="G199" s="127" t="s">
        <v>1427</v>
      </c>
      <c r="H199" s="295" t="s">
        <v>1428</v>
      </c>
      <c r="I199" s="189" t="s">
        <v>19134</v>
      </c>
    </row>
    <row r="200" spans="1:9" ht="28">
      <c r="A200" s="127" t="str">
        <f t="shared" si="8"/>
        <v>Smelter ListN4</v>
      </c>
      <c r="B200" s="127" t="s">
        <v>1389</v>
      </c>
      <c r="C200" s="127" t="s">
        <v>1429</v>
      </c>
      <c r="D200" s="127" t="s">
        <v>1430</v>
      </c>
      <c r="E200" s="243" t="s">
        <v>1431</v>
      </c>
      <c r="F200" s="244" t="s">
        <v>1432</v>
      </c>
      <c r="G200" s="127" t="s">
        <v>1433</v>
      </c>
      <c r="H200" s="295" t="s">
        <v>1434</v>
      </c>
      <c r="I200" s="127" t="s">
        <v>19135</v>
      </c>
    </row>
    <row r="201" spans="1:9" ht="28">
      <c r="A201" s="127" t="str">
        <f t="shared" si="8"/>
        <v>Smelter ListO4</v>
      </c>
      <c r="B201" s="127" t="s">
        <v>1389</v>
      </c>
      <c r="C201" s="127" t="s">
        <v>1435</v>
      </c>
      <c r="D201" s="127" t="s">
        <v>1436</v>
      </c>
      <c r="E201" s="243" t="s">
        <v>1437</v>
      </c>
      <c r="F201" s="244" t="s">
        <v>1438</v>
      </c>
      <c r="G201" s="127" t="s">
        <v>1439</v>
      </c>
      <c r="H201" s="295" t="s">
        <v>1440</v>
      </c>
      <c r="I201" s="127" t="s">
        <v>19136</v>
      </c>
    </row>
    <row r="202" spans="1:9" ht="27">
      <c r="A202" s="127" t="str">
        <f t="shared" si="8"/>
        <v>Smelter ListP4</v>
      </c>
      <c r="B202" s="127" t="s">
        <v>1389</v>
      </c>
      <c r="C202" s="127" t="s">
        <v>1441</v>
      </c>
      <c r="D202" s="127" t="s">
        <v>1442</v>
      </c>
      <c r="E202" s="243" t="s">
        <v>1443</v>
      </c>
      <c r="F202" s="244" t="s">
        <v>1444</v>
      </c>
      <c r="G202" s="127" t="s">
        <v>1445</v>
      </c>
      <c r="H202" s="295" t="s">
        <v>1446</v>
      </c>
      <c r="I202" s="127" t="s">
        <v>19137</v>
      </c>
    </row>
    <row r="203" spans="1:9">
      <c r="A203" s="127" t="str">
        <f t="shared" si="8"/>
        <v>Smelter ListQ4</v>
      </c>
      <c r="B203" s="127" t="s">
        <v>1389</v>
      </c>
      <c r="C203" s="127" t="s">
        <v>1447</v>
      </c>
      <c r="D203" s="127" t="s">
        <v>1247</v>
      </c>
      <c r="E203" s="243" t="s">
        <v>1248</v>
      </c>
      <c r="F203" s="244" t="s">
        <v>1249</v>
      </c>
      <c r="G203" s="127" t="s">
        <v>1250</v>
      </c>
      <c r="H203" s="295" t="s">
        <v>1251</v>
      </c>
      <c r="I203" s="127" t="s">
        <v>19104</v>
      </c>
    </row>
    <row r="204" spans="1:9" ht="27">
      <c r="A204" s="127" t="str">
        <f t="shared" si="8"/>
        <v>Smelter ListJ2</v>
      </c>
      <c r="B204" s="127" t="s">
        <v>1389</v>
      </c>
      <c r="C204" s="127" t="s">
        <v>1448</v>
      </c>
      <c r="D204" s="127" t="s">
        <v>1449</v>
      </c>
      <c r="E204" s="243" t="s">
        <v>1450</v>
      </c>
      <c r="F204" s="244" t="s">
        <v>1451</v>
      </c>
      <c r="G204" s="127" t="s">
        <v>1452</v>
      </c>
      <c r="H204" s="295" t="s">
        <v>1453</v>
      </c>
      <c r="I204" s="127" t="s">
        <v>19138</v>
      </c>
    </row>
    <row r="205" spans="1:9" ht="26">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c r="A208" s="127" t="str">
        <f t="shared" si="8"/>
        <v>Smelter ListG4</v>
      </c>
      <c r="B208" s="127" t="s">
        <v>1389</v>
      </c>
      <c r="C208" s="127" t="s">
        <v>1371</v>
      </c>
      <c r="D208" s="127" t="s">
        <v>1366</v>
      </c>
      <c r="E208" s="243" t="s">
        <v>1367</v>
      </c>
      <c r="F208" s="244" t="s">
        <v>1368</v>
      </c>
      <c r="G208" s="127" t="s">
        <v>1468</v>
      </c>
      <c r="H208" s="295" t="s">
        <v>1370</v>
      </c>
      <c r="I208" s="127" t="s">
        <v>19124</v>
      </c>
    </row>
    <row r="209" spans="1:9">
      <c r="A209" s="127" t="str">
        <f t="shared" si="8"/>
        <v>Smelter ListAH5</v>
      </c>
      <c r="B209" s="127" t="s">
        <v>1389</v>
      </c>
      <c r="C209" s="127" t="s">
        <v>1469</v>
      </c>
      <c r="D209" s="127" t="s">
        <v>25</v>
      </c>
      <c r="E209" s="243" t="s">
        <v>1275</v>
      </c>
      <c r="F209" s="244" t="s">
        <v>1276</v>
      </c>
      <c r="G209" s="127" t="s">
        <v>1277</v>
      </c>
      <c r="H209" s="295" t="s">
        <v>1278</v>
      </c>
      <c r="I209" s="127" t="s">
        <v>19107</v>
      </c>
    </row>
    <row r="210" spans="1:9">
      <c r="A210" s="127" t="str">
        <f t="shared" si="8"/>
        <v>Smelter ListAH6</v>
      </c>
      <c r="B210" s="127" t="s">
        <v>1389</v>
      </c>
      <c r="C210" s="127" t="s">
        <v>1470</v>
      </c>
      <c r="D210" s="127" t="s">
        <v>22</v>
      </c>
      <c r="E210" s="243" t="s">
        <v>1280</v>
      </c>
      <c r="F210" s="244" t="s">
        <v>1281</v>
      </c>
      <c r="G210" s="127" t="s">
        <v>1282</v>
      </c>
      <c r="H210" s="295" t="s">
        <v>22</v>
      </c>
      <c r="I210" s="127" t="s">
        <v>19108</v>
      </c>
    </row>
    <row r="211" spans="1:9">
      <c r="A211" s="127" t="str">
        <f t="shared" si="8"/>
        <v>Smelter ListAH7</v>
      </c>
      <c r="B211" s="127" t="s">
        <v>1389</v>
      </c>
      <c r="C211" s="127" t="s">
        <v>1471</v>
      </c>
      <c r="D211" s="127" t="s">
        <v>26</v>
      </c>
      <c r="E211" s="243" t="s">
        <v>1284</v>
      </c>
      <c r="F211" s="244" t="s">
        <v>1285</v>
      </c>
      <c r="G211" s="127" t="s">
        <v>1286</v>
      </c>
      <c r="H211" s="295" t="s">
        <v>1287</v>
      </c>
      <c r="I211" s="127" t="s">
        <v>19109</v>
      </c>
    </row>
    <row r="212" spans="1:9" ht="40.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7">
      <c r="A223" s="127" t="str">
        <f t="shared" si="8"/>
        <v>CheckerJ4</v>
      </c>
      <c r="B223" s="127" t="s">
        <v>1472</v>
      </c>
      <c r="C223" s="127" t="s">
        <v>1410</v>
      </c>
      <c r="D223" s="127" t="s">
        <v>1521</v>
      </c>
      <c r="E223" s="243" t="s">
        <v>1522</v>
      </c>
      <c r="F223" s="244" t="s">
        <v>1523</v>
      </c>
      <c r="G223" s="127" t="s">
        <v>1524</v>
      </c>
      <c r="H223" s="295" t="s">
        <v>1525</v>
      </c>
      <c r="I223" s="127" t="s">
        <v>19150</v>
      </c>
    </row>
    <row r="224" spans="1:9" ht="27">
      <c r="A224" s="127" t="str">
        <f t="shared" si="8"/>
        <v>CheckerJ5</v>
      </c>
      <c r="B224" s="127" t="s">
        <v>1472</v>
      </c>
      <c r="C224" s="127" t="s">
        <v>1526</v>
      </c>
      <c r="D224" s="127" t="s">
        <v>1527</v>
      </c>
      <c r="E224" s="243" t="s">
        <v>1528</v>
      </c>
      <c r="F224" s="244" t="s">
        <v>1529</v>
      </c>
      <c r="G224" s="127" t="s">
        <v>1530</v>
      </c>
      <c r="H224" s="295" t="s">
        <v>1531</v>
      </c>
      <c r="I224" s="127" t="s">
        <v>19151</v>
      </c>
    </row>
    <row r="225" spans="1:9" ht="27">
      <c r="A225" s="127" t="str">
        <f t="shared" si="8"/>
        <v>CheckerJ6</v>
      </c>
      <c r="B225" s="127" t="s">
        <v>1472</v>
      </c>
      <c r="C225" s="127" t="s">
        <v>1532</v>
      </c>
      <c r="D225" s="127" t="s">
        <v>1533</v>
      </c>
      <c r="E225" s="243" t="s">
        <v>1534</v>
      </c>
      <c r="F225" s="244" t="s">
        <v>1535</v>
      </c>
      <c r="G225" s="127" t="s">
        <v>1536</v>
      </c>
      <c r="H225" s="295" t="s">
        <v>1537</v>
      </c>
      <c r="I225" s="127" t="s">
        <v>19152</v>
      </c>
    </row>
    <row r="226" spans="1:9" ht="27">
      <c r="A226" s="127" t="str">
        <f t="shared" si="8"/>
        <v>CheckerJ7</v>
      </c>
      <c r="B226" s="127" t="s">
        <v>1472</v>
      </c>
      <c r="C226" s="127" t="s">
        <v>1538</v>
      </c>
      <c r="D226" s="127" t="s">
        <v>1539</v>
      </c>
      <c r="E226" s="243" t="s">
        <v>1540</v>
      </c>
      <c r="F226" s="244" t="s">
        <v>1541</v>
      </c>
      <c r="G226" s="127" t="s">
        <v>1542</v>
      </c>
      <c r="H226" s="295" t="s">
        <v>1543</v>
      </c>
      <c r="I226" s="127" t="s">
        <v>19153</v>
      </c>
    </row>
    <row r="227" spans="1:9" ht="28">
      <c r="A227" s="127" t="str">
        <f t="shared" si="8"/>
        <v>CheckerJ8</v>
      </c>
      <c r="B227" s="127" t="s">
        <v>1472</v>
      </c>
      <c r="C227" s="127" t="s">
        <v>1544</v>
      </c>
      <c r="D227" s="127" t="s">
        <v>1545</v>
      </c>
      <c r="E227" s="243" t="s">
        <v>1546</v>
      </c>
      <c r="F227" s="244" t="s">
        <v>1547</v>
      </c>
      <c r="G227" s="127" t="s">
        <v>1548</v>
      </c>
      <c r="H227" s="295" t="s">
        <v>1549</v>
      </c>
      <c r="I227" s="127" t="s">
        <v>19154</v>
      </c>
    </row>
    <row r="228" spans="1:9" ht="27">
      <c r="A228" s="127" t="str">
        <f t="shared" si="8"/>
        <v>CheckerJ9</v>
      </c>
      <c r="B228" s="127" t="s">
        <v>1472</v>
      </c>
      <c r="C228" s="127" t="s">
        <v>1550</v>
      </c>
      <c r="D228" s="127" t="s">
        <v>1551</v>
      </c>
      <c r="E228" s="243" t="s">
        <v>1552</v>
      </c>
      <c r="F228" s="244" t="s">
        <v>1553</v>
      </c>
      <c r="G228" s="127" t="s">
        <v>1554</v>
      </c>
      <c r="H228" s="295" t="s">
        <v>1555</v>
      </c>
      <c r="I228" s="127" t="s">
        <v>19155</v>
      </c>
    </row>
    <row r="229" spans="1:9" ht="40.5">
      <c r="A229" s="127" t="str">
        <f t="shared" si="8"/>
        <v>CheckerJ10</v>
      </c>
      <c r="B229" s="127" t="s">
        <v>1472</v>
      </c>
      <c r="C229" s="127" t="s">
        <v>1556</v>
      </c>
      <c r="D229" s="127" t="s">
        <v>1557</v>
      </c>
      <c r="E229" s="243" t="s">
        <v>1558</v>
      </c>
      <c r="F229" s="244" t="s">
        <v>1559</v>
      </c>
      <c r="G229" s="255" t="s">
        <v>1560</v>
      </c>
      <c r="H229" s="295" t="s">
        <v>1561</v>
      </c>
      <c r="I229" s="127" t="s">
        <v>19156</v>
      </c>
    </row>
    <row r="230" spans="1:9" ht="40.5">
      <c r="A230" s="127" t="str">
        <f t="shared" si="8"/>
        <v>CheckerJ11</v>
      </c>
      <c r="B230" s="127" t="s">
        <v>1472</v>
      </c>
      <c r="C230" s="127" t="s">
        <v>1562</v>
      </c>
      <c r="D230" s="127" t="s">
        <v>1563</v>
      </c>
      <c r="E230" s="243" t="s">
        <v>1564</v>
      </c>
      <c r="F230" s="244" t="s">
        <v>1565</v>
      </c>
      <c r="G230" s="255" t="s">
        <v>1566</v>
      </c>
      <c r="H230" s="295" t="s">
        <v>1567</v>
      </c>
      <c r="I230" s="127" t="s">
        <v>19157</v>
      </c>
    </row>
    <row r="231" spans="1:9" ht="40.5">
      <c r="A231" s="127" t="str">
        <f t="shared" si="8"/>
        <v>CheckerJ12</v>
      </c>
      <c r="B231" s="127" t="s">
        <v>1472</v>
      </c>
      <c r="C231" s="127" t="s">
        <v>1568</v>
      </c>
      <c r="D231" s="127" t="s">
        <v>1569</v>
      </c>
      <c r="E231" s="243" t="s">
        <v>1570</v>
      </c>
      <c r="F231" s="244" t="s">
        <v>1571</v>
      </c>
      <c r="G231" s="255" t="s">
        <v>1572</v>
      </c>
      <c r="H231" s="295" t="s">
        <v>1573</v>
      </c>
      <c r="I231" s="127" t="s">
        <v>19159</v>
      </c>
    </row>
    <row r="232" spans="1:9" ht="27">
      <c r="A232" s="127" t="str">
        <f t="shared" si="8"/>
        <v>CheckerJ13</v>
      </c>
      <c r="B232" s="127" t="s">
        <v>1472</v>
      </c>
      <c r="C232" s="127" t="s">
        <v>1574</v>
      </c>
      <c r="D232" s="127" t="s">
        <v>1575</v>
      </c>
      <c r="E232" s="243" t="s">
        <v>1576</v>
      </c>
      <c r="F232" s="244" t="s">
        <v>1577</v>
      </c>
      <c r="G232" s="127" t="s">
        <v>1578</v>
      </c>
      <c r="H232" s="295" t="s">
        <v>1579</v>
      </c>
      <c r="I232" s="127" t="s">
        <v>19158</v>
      </c>
    </row>
    <row r="233" spans="1:9" ht="29">
      <c r="A233" s="127" t="str">
        <f t="shared" si="8"/>
        <v>CheckerJ15</v>
      </c>
      <c r="B233" s="127" t="s">
        <v>1472</v>
      </c>
      <c r="C233" s="127" t="s">
        <v>1580</v>
      </c>
      <c r="D233" s="249" t="s">
        <v>1581</v>
      </c>
      <c r="E233" s="250" t="s">
        <v>1582</v>
      </c>
      <c r="F233" s="257" t="s">
        <v>1583</v>
      </c>
      <c r="G233" s="255" t="s">
        <v>1584</v>
      </c>
      <c r="H233" s="295" t="s">
        <v>1585</v>
      </c>
      <c r="I233" s="127" t="s">
        <v>19160</v>
      </c>
    </row>
    <row r="234" spans="1:9" ht="40.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40.5">
      <c r="A237" s="127" t="str">
        <f t="shared" si="8"/>
        <v>CheckerJ20</v>
      </c>
      <c r="B237" s="127" t="s">
        <v>1472</v>
      </c>
      <c r="C237" s="127" t="s">
        <v>1594</v>
      </c>
      <c r="D237" s="249" t="s">
        <v>1595</v>
      </c>
      <c r="E237" s="250" t="s">
        <v>1596</v>
      </c>
      <c r="F237" s="257" t="s">
        <v>1597</v>
      </c>
      <c r="G237" s="262" t="s">
        <v>1598</v>
      </c>
      <c r="H237" s="295" t="s">
        <v>1599</v>
      </c>
      <c r="I237" s="127" t="s">
        <v>19162</v>
      </c>
    </row>
    <row r="238" spans="1:9" ht="40.5">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4"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4">
      <c r="A242" s="127" t="str">
        <f t="shared" si="9"/>
        <v>CheckerJ28</v>
      </c>
      <c r="B242" s="127" t="s">
        <v>1472</v>
      </c>
      <c r="C242" s="127" t="s">
        <v>1618</v>
      </c>
      <c r="D242" s="249" t="s">
        <v>1619</v>
      </c>
      <c r="E242" s="250" t="s">
        <v>1620</v>
      </c>
      <c r="F242" s="257" t="s">
        <v>1621</v>
      </c>
      <c r="G242" s="255" t="s">
        <v>1622</v>
      </c>
      <c r="H242" s="295" t="s">
        <v>1623</v>
      </c>
      <c r="I242" s="127" t="s">
        <v>19165</v>
      </c>
    </row>
    <row r="243" spans="1:9" ht="54">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4">
      <c r="A250" s="127" t="str">
        <f t="shared" si="9"/>
        <v>CheckerJ38</v>
      </c>
      <c r="B250" s="127" t="s">
        <v>1472</v>
      </c>
      <c r="C250" s="127" t="s">
        <v>1644</v>
      </c>
      <c r="D250" s="127" t="s">
        <v>1645</v>
      </c>
      <c r="E250" s="243" t="s">
        <v>1646</v>
      </c>
      <c r="F250" s="244" t="s">
        <v>1647</v>
      </c>
      <c r="G250" s="255" t="s">
        <v>1648</v>
      </c>
      <c r="H250" s="295" t="s">
        <v>1649</v>
      </c>
      <c r="I250" s="127" t="s">
        <v>19171</v>
      </c>
    </row>
    <row r="251" spans="1:9" ht="54">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0.5">
      <c r="A254" s="127" t="str">
        <f t="shared" si="9"/>
        <v>CheckerJ43</v>
      </c>
      <c r="B254" s="127" t="s">
        <v>1472</v>
      </c>
      <c r="C254" s="127" t="s">
        <v>1657</v>
      </c>
      <c r="D254" s="249" t="s">
        <v>1658</v>
      </c>
      <c r="E254" s="250" t="s">
        <v>1659</v>
      </c>
      <c r="F254" s="257" t="s">
        <v>1660</v>
      </c>
      <c r="G254" s="262" t="s">
        <v>1661</v>
      </c>
      <c r="H254" s="295" t="s">
        <v>1662</v>
      </c>
      <c r="I254" s="127" t="s">
        <v>19174</v>
      </c>
    </row>
    <row r="255" spans="1:9" ht="40.5">
      <c r="A255" s="127" t="str">
        <f t="shared" si="9"/>
        <v>CheckerJ44</v>
      </c>
      <c r="B255" s="127" t="s">
        <v>1472</v>
      </c>
      <c r="C255" s="127" t="s">
        <v>1663</v>
      </c>
      <c r="D255" s="249" t="s">
        <v>1664</v>
      </c>
      <c r="E255" s="250" t="s">
        <v>1665</v>
      </c>
      <c r="F255" s="257" t="s">
        <v>1666</v>
      </c>
      <c r="G255" s="262" t="s">
        <v>1667</v>
      </c>
      <c r="H255" s="295" t="s">
        <v>1668</v>
      </c>
      <c r="I255" s="127" t="s">
        <v>19173</v>
      </c>
    </row>
    <row r="256" spans="1:9" ht="80.400000000000006"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00000000000006"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4">
      <c r="A258" s="127" t="str">
        <f t="shared" si="9"/>
        <v>CheckerJ49</v>
      </c>
      <c r="B258" s="127" t="s">
        <v>1472</v>
      </c>
      <c r="C258" s="127" t="s">
        <v>1698</v>
      </c>
      <c r="D258" s="249" t="s">
        <v>1682</v>
      </c>
      <c r="E258" s="250" t="s">
        <v>1683</v>
      </c>
      <c r="F258" s="257" t="s">
        <v>1684</v>
      </c>
      <c r="G258" s="280" t="s">
        <v>1685</v>
      </c>
      <c r="H258" s="295" t="s">
        <v>1686</v>
      </c>
      <c r="I258" s="127" t="s">
        <v>19177</v>
      </c>
    </row>
    <row r="259" spans="1:9" ht="54">
      <c r="A259" s="127" t="str">
        <f t="shared" si="9"/>
        <v>CheckerJ48</v>
      </c>
      <c r="B259" s="127" t="s">
        <v>1472</v>
      </c>
      <c r="C259" s="127" t="s">
        <v>1687</v>
      </c>
      <c r="D259" s="127" t="s">
        <v>1688</v>
      </c>
      <c r="E259" s="247" t="s">
        <v>1689</v>
      </c>
      <c r="F259" s="244" t="s">
        <v>1690</v>
      </c>
      <c r="G259" s="245" t="s">
        <v>1691</v>
      </c>
      <c r="H259" s="295" t="s">
        <v>1692</v>
      </c>
      <c r="I259" s="127" t="s">
        <v>19178</v>
      </c>
    </row>
    <row r="260" spans="1:9" ht="51">
      <c r="A260" s="127" t="str">
        <f>B260&amp;C260</f>
        <v>CheckerJ50</v>
      </c>
      <c r="B260" s="127" t="s">
        <v>1472</v>
      </c>
      <c r="C260" s="127" t="s">
        <v>1681</v>
      </c>
      <c r="D260" s="127" t="s">
        <v>1693</v>
      </c>
      <c r="E260" s="247" t="s">
        <v>1694</v>
      </c>
      <c r="F260" s="281" t="s">
        <v>1695</v>
      </c>
      <c r="G260" s="252" t="s">
        <v>1696</v>
      </c>
      <c r="H260" s="295" t="s">
        <v>1697</v>
      </c>
      <c r="I260" s="127" t="s">
        <v>19179</v>
      </c>
    </row>
    <row r="261" spans="1:9" ht="40.5">
      <c r="A261" s="127" t="str">
        <f t="shared" si="9"/>
        <v>CheckerJ54</v>
      </c>
      <c r="B261" s="127" t="s">
        <v>1472</v>
      </c>
      <c r="C261" s="127" t="s">
        <v>1675</v>
      </c>
      <c r="D261" s="249" t="s">
        <v>12675</v>
      </c>
      <c r="E261" s="250" t="s">
        <v>12676</v>
      </c>
      <c r="F261" s="257" t="s">
        <v>12677</v>
      </c>
      <c r="G261" s="280" t="s">
        <v>12678</v>
      </c>
      <c r="H261" s="295" t="s">
        <v>12679</v>
      </c>
      <c r="I261" s="127" t="s">
        <v>19180</v>
      </c>
    </row>
    <row r="262" spans="1:9" ht="40.5" hidden="1">
      <c r="A262" s="127" t="str">
        <f t="shared" si="9"/>
        <v>Checker</v>
      </c>
      <c r="B262" s="127" t="s">
        <v>1472</v>
      </c>
      <c r="D262" s="127" t="s">
        <v>1699</v>
      </c>
      <c r="E262" s="243" t="s">
        <v>1700</v>
      </c>
      <c r="F262" s="244" t="s">
        <v>1701</v>
      </c>
      <c r="G262" s="127" t="s">
        <v>1702</v>
      </c>
      <c r="H262" s="295" t="s">
        <v>1703</v>
      </c>
    </row>
    <row r="263" spans="1:9" ht="54"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0.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5"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0.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0.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0.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1"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28">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7">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1">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c r="A287" s="127" t="s">
        <v>1247</v>
      </c>
      <c r="D287" s="127" t="s">
        <v>1766</v>
      </c>
      <c r="E287" s="243" t="s">
        <v>1767</v>
      </c>
      <c r="F287" s="244" t="s">
        <v>1768</v>
      </c>
      <c r="G287" s="128" t="s">
        <v>1769</v>
      </c>
      <c r="H287" s="295" t="s">
        <v>1770</v>
      </c>
    </row>
    <row r="288" spans="1:9" ht="67.5">
      <c r="A288" s="127" t="s">
        <v>1247</v>
      </c>
      <c r="D288" s="127" t="s">
        <v>1771</v>
      </c>
      <c r="E288" s="243" t="s">
        <v>1772</v>
      </c>
      <c r="F288" s="244" t="s">
        <v>1773</v>
      </c>
      <c r="G288" s="128" t="s">
        <v>1774</v>
      </c>
      <c r="H288" s="295" t="s">
        <v>1775</v>
      </c>
    </row>
    <row r="289" spans="1:8">
      <c r="A289" s="127" t="s">
        <v>1247</v>
      </c>
      <c r="D289" s="127" t="s">
        <v>1776</v>
      </c>
      <c r="E289" s="243" t="s">
        <v>1777</v>
      </c>
      <c r="F289" s="244" t="s">
        <v>1778</v>
      </c>
      <c r="G289" s="128" t="s">
        <v>1779</v>
      </c>
      <c r="H289" s="295" t="s">
        <v>1780</v>
      </c>
    </row>
    <row r="290" spans="1:8" ht="27">
      <c r="A290" s="127" t="s">
        <v>1247</v>
      </c>
      <c r="D290" s="127" t="s">
        <v>1781</v>
      </c>
      <c r="E290" s="243" t="s">
        <v>1782</v>
      </c>
      <c r="F290" s="244" t="s">
        <v>1783</v>
      </c>
      <c r="G290" s="128" t="s">
        <v>1784</v>
      </c>
      <c r="H290" s="295" t="s">
        <v>1785</v>
      </c>
    </row>
    <row r="291" spans="1:8" ht="54">
      <c r="A291" s="127" t="s">
        <v>1247</v>
      </c>
      <c r="D291" s="127" t="s">
        <v>1786</v>
      </c>
      <c r="E291" s="243" t="s">
        <v>1787</v>
      </c>
      <c r="F291" s="244" t="s">
        <v>1788</v>
      </c>
      <c r="G291" s="128" t="s">
        <v>1789</v>
      </c>
      <c r="H291" s="295" t="s">
        <v>1790</v>
      </c>
    </row>
  </sheetData>
  <autoFilter ref="A1:I283" xr:uid="{00000000-0009-0000-0000-000008000000}"/>
  <customSheetViews>
    <customSheetView guid="{C59130F4-2E03-5E48-94CE-6E4A0484DB9E}" outlineSymbols="0" zeroValues="0" showAutoFilter="1">
      <selection activeCell="E4" sqref="E4"/>
      <autoFilter ref="B1:N1" xr:uid="{00000000-0000-0000-0000-000000000000}"/>
    </customSheetView>
    <customSheetView guid="{4BDF1A28-30D5-449D-B20E-D6C97EF9FAE1}" outlineSymbols="0" zeroValues="0" showAutoFilter="1">
      <selection activeCell="C174" sqref="C174"/>
      <autoFilter ref="B1:N1" xr:uid="{00000000-0000-0000-0000-000000000000}"/>
    </customSheetView>
  </customSheetViews>
  <phoneticPr fontId="78" type="noConversion"/>
  <pageMargins left="0.75" right="0.75" top="1" bottom="1" header="0.3" footer="0.3"/>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outlineSymbols="0" zeroValues="0">
      <selection activeCell="B24" sqref="B24"/>
    </customSheetView>
    <customSheetView guid="{4BDF1A28-30D5-449D-B20E-D6C97EF9FAE1}" outlineSymbols="0" zeroValues="0">
      <selection activeCell="B24" sqref="B24"/>
    </customSheetView>
  </customSheetViews>
  <phoneticPr fontId="78" type="noConversion"/>
  <pageMargins left="0.75" right="0.75" top="1" bottom="1"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outlineSymbols="0" zeroValues="0" showAutoFilter="1">
      <selection activeCell="C1" sqref="C1:D65536"/>
      <autoFilter ref="B1:C1" xr:uid="{00000000-0000-0000-0000-000000000000}"/>
    </customSheetView>
    <customSheetView guid="{4BDF1A28-30D5-449D-B20E-D6C97EF9FAE1}" outlineSymbols="0" zeroValues="0" showAutoFilter="1">
      <selection activeCell="C1" sqref="C1:D65536"/>
      <autoFilter ref="B1:C1" xr:uid="{00000000-0000-0000-0000-000000000000}"/>
    </customSheetView>
  </customSheetViews>
  <phoneticPr fontId="78" type="noConversion"/>
  <pageMargins left="0.75" right="0.75" top="1" bottom="1"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a54701f6-876b-4337-a24e-543e1bd311e6"/>
    <ds:schemaRef ds:uri="1b346dad-8a15-4ce7-a19a-07d981b0c5e2"/>
    <ds:schemaRef ds:uri="http://www.w3.org/XML/1998/namespace"/>
    <ds:schemaRef ds:uri="http://purl.org/dc/elements/1.1/"/>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Winson Lin</cp:lastModifiedBy>
  <dcterms:created xsi:type="dcterms:W3CDTF">2010-06-21T21:00:23Z</dcterms:created>
  <dcterms:modified xsi:type="dcterms:W3CDTF">2025-04-08T05:31:52Z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Generator">
    <vt:lpwstr>NPOI</vt:lpwstr>
  </property>
  <property fmtid="{D5CDD505-2E9C-101B-9397-08002B2CF9AE}" pid="5" name="Generator Version">
    <vt:lpwstr>2.4.1</vt:lpwstr>
  </property>
</Properties>
</file>